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codeName="ThisWorkbook" defaultThemeVersion="124226"/>
  <xr:revisionPtr revIDLastSave="0" documentId="13_ncr:1_{44D13B7D-778B-430E-8A41-6DCFCAA95C6D}" xr6:coauthVersionLast="45" xr6:coauthVersionMax="45" xr10:uidLastSave="{00000000-0000-0000-0000-000000000000}"/>
  <bookViews>
    <workbookView xWindow="28680" yWindow="-120" windowWidth="29040" windowHeight="16440" tabRatio="886" firstSheet="2" activeTab="12" xr2:uid="{00000000-000D-0000-FFFF-FFFF00000000}"/>
  </bookViews>
  <sheets>
    <sheet name="Assumptions Summary" sheetId="16" r:id="rId1"/>
    <sheet name="Value of Injuries and Crashes" sheetId="1" r:id="rId2"/>
    <sheet name="RCV Factors" sheetId="14" r:id="rId3"/>
    <sheet name="Maintenance" sheetId="26" r:id="rId4"/>
    <sheet name="Design.Construction.Salvage" sheetId="7" r:id="rId5"/>
    <sheet name="Safety Analysis" sheetId="23" r:id="rId6"/>
    <sheet name="Collision Conversion Matrix" sheetId="27" r:id="rId7"/>
    <sheet name="Travel Time Analysis" sheetId="5" r:id="rId8"/>
    <sheet name="Vehicle Operating Analysis" sheetId="8" r:id="rId9"/>
    <sheet name="Environmental Analysis" sheetId="24" r:id="rId10"/>
    <sheet name="Misc Tables" sheetId="21" r:id="rId11"/>
    <sheet name="Summaries" sheetId="20" r:id="rId12"/>
    <sheet name="Summary" sheetId="22" r:id="rId13"/>
  </sheets>
  <definedNames>
    <definedName name="_xlnm.Print_Area" localSheetId="0">'Assumptions Summary'!$A$1:$B$55</definedName>
    <definedName name="_xlnm.Print_Area" localSheetId="12">Summary!$A$1:$B$28</definedName>
    <definedName name="_xlnm.Print_Area" localSheetId="7">'Travel Time Analysis'!$A$1:$K$17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5" l="1"/>
  <c r="E10" i="5"/>
  <c r="D11" i="5"/>
  <c r="D10" i="5"/>
  <c r="C11" i="5"/>
  <c r="C10" i="5"/>
  <c r="B11" i="5"/>
  <c r="B10" i="5"/>
  <c r="B9" i="5" l="1"/>
  <c r="C9" i="5"/>
  <c r="D9" i="5"/>
  <c r="E9" i="5"/>
  <c r="Y10" i="21"/>
  <c r="W10" i="21"/>
  <c r="X10" i="21"/>
  <c r="Z10" i="21"/>
  <c r="D8" i="5"/>
  <c r="E8" i="5"/>
  <c r="C8" i="5"/>
  <c r="B8" i="5"/>
  <c r="F47" i="26"/>
  <c r="G35" i="26"/>
  <c r="G34" i="26"/>
  <c r="G33" i="26"/>
  <c r="G32" i="26"/>
  <c r="G28" i="26"/>
  <c r="G27" i="26"/>
  <c r="A27" i="26"/>
  <c r="A28" i="26" s="1"/>
  <c r="G26" i="26"/>
  <c r="G23" i="26"/>
  <c r="A23" i="26"/>
  <c r="G22" i="26"/>
  <c r="G19" i="26"/>
  <c r="G18" i="26"/>
  <c r="A18" i="26"/>
  <c r="A19" i="26" s="1"/>
  <c r="G17" i="26"/>
  <c r="G14" i="26"/>
  <c r="G11" i="26"/>
  <c r="G10" i="26"/>
  <c r="G8" i="26"/>
  <c r="G7" i="26"/>
  <c r="G6" i="26"/>
  <c r="G5" i="26"/>
  <c r="G4" i="26"/>
  <c r="G3" i="26"/>
  <c r="G9" i="26"/>
  <c r="E11" i="24" l="1"/>
  <c r="E10" i="24"/>
  <c r="E9" i="24"/>
  <c r="E8" i="24"/>
  <c r="D11" i="24"/>
  <c r="D10" i="24"/>
  <c r="D9" i="24"/>
  <c r="D8" i="24"/>
  <c r="C11" i="24"/>
  <c r="C10" i="24"/>
  <c r="C9" i="24"/>
  <c r="C8" i="24"/>
  <c r="B11" i="24"/>
  <c r="B10" i="24"/>
  <c r="B9" i="24"/>
  <c r="B8" i="24"/>
  <c r="E11" i="8"/>
  <c r="E10" i="8"/>
  <c r="E9" i="8"/>
  <c r="E8" i="8"/>
  <c r="D10" i="8"/>
  <c r="D11" i="8"/>
  <c r="D9" i="8"/>
  <c r="D8" i="8"/>
  <c r="C11" i="8"/>
  <c r="C10" i="8"/>
  <c r="C9" i="8"/>
  <c r="C8" i="8"/>
  <c r="B11" i="8"/>
  <c r="B10" i="8"/>
  <c r="B9" i="8"/>
  <c r="B8" i="8"/>
  <c r="CY9" i="20" l="1"/>
  <c r="DE9" i="20" s="1"/>
  <c r="CR10" i="20"/>
  <c r="CS10" i="20"/>
  <c r="CW10" i="20"/>
  <c r="CX10" i="20"/>
  <c r="CY10" i="20"/>
  <c r="DE10" i="20" s="1"/>
  <c r="DB10" i="20"/>
  <c r="DC10" i="20"/>
  <c r="DG10" i="20"/>
  <c r="DH10" i="20"/>
  <c r="DI10" i="20"/>
  <c r="CR11" i="20"/>
  <c r="CS11" i="20"/>
  <c r="CW11" i="20"/>
  <c r="CX11" i="20"/>
  <c r="CY11" i="20"/>
  <c r="DE11" i="20" s="1"/>
  <c r="DB11" i="20"/>
  <c r="DC11" i="20"/>
  <c r="DG11" i="20"/>
  <c r="DH11" i="20"/>
  <c r="DI11" i="20"/>
  <c r="CR12" i="20"/>
  <c r="CS12" i="20"/>
  <c r="CW12" i="20"/>
  <c r="CX12" i="20"/>
  <c r="CY12" i="20"/>
  <c r="DE12" i="20" s="1"/>
  <c r="DB12" i="20"/>
  <c r="DC12" i="20"/>
  <c r="DG12" i="20"/>
  <c r="DH12" i="20"/>
  <c r="DI12" i="20"/>
  <c r="CR13" i="20"/>
  <c r="CS13" i="20"/>
  <c r="CW13" i="20"/>
  <c r="CX13" i="20"/>
  <c r="CY13" i="20"/>
  <c r="DE13" i="20" s="1"/>
  <c r="DB13" i="20"/>
  <c r="DC13" i="20"/>
  <c r="DG13" i="20"/>
  <c r="DH13" i="20"/>
  <c r="DI13" i="20"/>
  <c r="CR14" i="20"/>
  <c r="CS14" i="20"/>
  <c r="CW14" i="20"/>
  <c r="CX14" i="20"/>
  <c r="CY14" i="20"/>
  <c r="DE14" i="20" s="1"/>
  <c r="DB14" i="20"/>
  <c r="DC14" i="20"/>
  <c r="DG14" i="20"/>
  <c r="DH14" i="20"/>
  <c r="DI14" i="20"/>
  <c r="CR15" i="20"/>
  <c r="CS15" i="20"/>
  <c r="CW15" i="20"/>
  <c r="CX15" i="20"/>
  <c r="CY15" i="20"/>
  <c r="DE15" i="20" s="1"/>
  <c r="DB15" i="20"/>
  <c r="DC15" i="20"/>
  <c r="DG15" i="20"/>
  <c r="DH15" i="20"/>
  <c r="DI15" i="20"/>
  <c r="CR16" i="20"/>
  <c r="CS16" i="20"/>
  <c r="CT16" i="20"/>
  <c r="CU16" i="20"/>
  <c r="CW16" i="20"/>
  <c r="CX16" i="20"/>
  <c r="CY16" i="20"/>
  <c r="DE16" i="20" s="1"/>
  <c r="DB16" i="20"/>
  <c r="DC16" i="20"/>
  <c r="DG16" i="20"/>
  <c r="DH16" i="20"/>
  <c r="DI16" i="20"/>
  <c r="CR17" i="20"/>
  <c r="CS17" i="20"/>
  <c r="CY17" i="20"/>
  <c r="DE17" i="20" s="1"/>
  <c r="CW17" i="20"/>
  <c r="CX17" i="20"/>
  <c r="DB17" i="20"/>
  <c r="DC17" i="20"/>
  <c r="DG17" i="20"/>
  <c r="DH17" i="20"/>
  <c r="DI17" i="20"/>
  <c r="CR18" i="20"/>
  <c r="CS18" i="20"/>
  <c r="CW18" i="20"/>
  <c r="CX18" i="20"/>
  <c r="CY18" i="20"/>
  <c r="DE18" i="20" s="1"/>
  <c r="DB18" i="20"/>
  <c r="DC18" i="20"/>
  <c r="DG18" i="20"/>
  <c r="DH18" i="20"/>
  <c r="DI18" i="20"/>
  <c r="CR19" i="20"/>
  <c r="CS19" i="20"/>
  <c r="CY19" i="20"/>
  <c r="DE19" i="20" s="1"/>
  <c r="CW19" i="20"/>
  <c r="CX19" i="20"/>
  <c r="DB19" i="20"/>
  <c r="DC19" i="20"/>
  <c r="DG19" i="20"/>
  <c r="DH19" i="20"/>
  <c r="DI19" i="20"/>
  <c r="CR20" i="20"/>
  <c r="CS20" i="20"/>
  <c r="CY20" i="20"/>
  <c r="DE20" i="20" s="1"/>
  <c r="CW20" i="20"/>
  <c r="CX20" i="20"/>
  <c r="DB20" i="20"/>
  <c r="DC20" i="20"/>
  <c r="DG20" i="20"/>
  <c r="DH20" i="20"/>
  <c r="DI20" i="20"/>
  <c r="CR21" i="20"/>
  <c r="CS21" i="20"/>
  <c r="CY21" i="20"/>
  <c r="DE21" i="20" s="1"/>
  <c r="CW21" i="20"/>
  <c r="CX21" i="20"/>
  <c r="DB21" i="20"/>
  <c r="DC21" i="20"/>
  <c r="DG21" i="20"/>
  <c r="DH21" i="20"/>
  <c r="DI21" i="20"/>
  <c r="CR22" i="20"/>
  <c r="CS22" i="20"/>
  <c r="CY22" i="20"/>
  <c r="DE22" i="20" s="1"/>
  <c r="CW22" i="20"/>
  <c r="CX22" i="20"/>
  <c r="DB22" i="20"/>
  <c r="DC22" i="20"/>
  <c r="DG22" i="20"/>
  <c r="DH22" i="20"/>
  <c r="DI22" i="20"/>
  <c r="CR23" i="20"/>
  <c r="CS23" i="20"/>
  <c r="CY23" i="20"/>
  <c r="DE23" i="20" s="1"/>
  <c r="CW23" i="20"/>
  <c r="CX23" i="20"/>
  <c r="DB23" i="20"/>
  <c r="DC23" i="20"/>
  <c r="DG23" i="20"/>
  <c r="DH23" i="20"/>
  <c r="DI23" i="20"/>
  <c r="CR24" i="20"/>
  <c r="CS24" i="20"/>
  <c r="CY24" i="20"/>
  <c r="DE24" i="20" s="1"/>
  <c r="CW24" i="20"/>
  <c r="CX24" i="20"/>
  <c r="DB24" i="20"/>
  <c r="DC24" i="20"/>
  <c r="DG24" i="20"/>
  <c r="DH24" i="20"/>
  <c r="DI24" i="20"/>
  <c r="CR25" i="20"/>
  <c r="CS25" i="20"/>
  <c r="CY25" i="20"/>
  <c r="DE25" i="20" s="1"/>
  <c r="CW25" i="20"/>
  <c r="CX25" i="20"/>
  <c r="DB25" i="20"/>
  <c r="DC25" i="20"/>
  <c r="DG25" i="20"/>
  <c r="DH25" i="20"/>
  <c r="DI25" i="20"/>
  <c r="CR26" i="20"/>
  <c r="CS26" i="20"/>
  <c r="CW26" i="20"/>
  <c r="CX26" i="20"/>
  <c r="CY26" i="20"/>
  <c r="DE26" i="20" s="1"/>
  <c r="DB26" i="20"/>
  <c r="DC26" i="20"/>
  <c r="DG26" i="20"/>
  <c r="DH26" i="20"/>
  <c r="DI26" i="20"/>
  <c r="CR27" i="20"/>
  <c r="CS27" i="20"/>
  <c r="CY27" i="20"/>
  <c r="DE27" i="20" s="1"/>
  <c r="CW27" i="20"/>
  <c r="CX27" i="20"/>
  <c r="DB27" i="20"/>
  <c r="DC27" i="20"/>
  <c r="DG27" i="20"/>
  <c r="DH27" i="20"/>
  <c r="DI27" i="20"/>
  <c r="M74" i="20"/>
  <c r="M73" i="20"/>
  <c r="M72" i="20"/>
  <c r="M71" i="20"/>
  <c r="M70" i="20"/>
  <c r="M69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L74" i="20"/>
  <c r="L73" i="20"/>
  <c r="L72" i="20"/>
  <c r="L71" i="20"/>
  <c r="L70" i="20"/>
  <c r="L69" i="20"/>
  <c r="L68" i="20"/>
  <c r="L67" i="20"/>
  <c r="L66" i="20"/>
  <c r="L65" i="20"/>
  <c r="L64" i="20"/>
  <c r="L63" i="20"/>
  <c r="L62" i="20"/>
  <c r="L61" i="20"/>
  <c r="L60" i="20"/>
  <c r="L59" i="20"/>
  <c r="L58" i="20"/>
  <c r="L57" i="20"/>
  <c r="L56" i="20"/>
  <c r="L55" i="20"/>
  <c r="L54" i="20"/>
  <c r="L53" i="20"/>
  <c r="L52" i="20"/>
  <c r="L51" i="20"/>
  <c r="L50" i="20"/>
  <c r="L49" i="20"/>
  <c r="L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48" i="20"/>
  <c r="DI36" i="20"/>
  <c r="DI35" i="20"/>
  <c r="DI34" i="20"/>
  <c r="DI33" i="20"/>
  <c r="DI32" i="20"/>
  <c r="DI31" i="20"/>
  <c r="DI30" i="20"/>
  <c r="DI29" i="20"/>
  <c r="DI28" i="20"/>
  <c r="DH36" i="20"/>
  <c r="DH35" i="20"/>
  <c r="DH34" i="20"/>
  <c r="DH33" i="20"/>
  <c r="DH32" i="20"/>
  <c r="DH31" i="20"/>
  <c r="DH30" i="20"/>
  <c r="DH29" i="20"/>
  <c r="DH28" i="20"/>
  <c r="DC36" i="20"/>
  <c r="DC35" i="20"/>
  <c r="DC34" i="20"/>
  <c r="DC33" i="20"/>
  <c r="DC32" i="20"/>
  <c r="DC31" i="20"/>
  <c r="DC30" i="20"/>
  <c r="DC29" i="20"/>
  <c r="DC28" i="20"/>
  <c r="CX36" i="20"/>
  <c r="CX35" i="20"/>
  <c r="CX34" i="20"/>
  <c r="CX33" i="20"/>
  <c r="CX32" i="20"/>
  <c r="CX31" i="20"/>
  <c r="CX30" i="20"/>
  <c r="CX29" i="20"/>
  <c r="CX28" i="20"/>
  <c r="CS36" i="20"/>
  <c r="CS35" i="20"/>
  <c r="CS34" i="20"/>
  <c r="CS33" i="20"/>
  <c r="CS32" i="20"/>
  <c r="CS31" i="20"/>
  <c r="CS30" i="20"/>
  <c r="CS29" i="20"/>
  <c r="CS28" i="20"/>
  <c r="CL36" i="20"/>
  <c r="CL35" i="20"/>
  <c r="CL34" i="20"/>
  <c r="CL33" i="20"/>
  <c r="CL32" i="20"/>
  <c r="CL31" i="20"/>
  <c r="CL30" i="20"/>
  <c r="CL29" i="20"/>
  <c r="CL28" i="20"/>
  <c r="CL27" i="20"/>
  <c r="CL26" i="20"/>
  <c r="CL25" i="20"/>
  <c r="CL24" i="20"/>
  <c r="CL23" i="20"/>
  <c r="CL22" i="20"/>
  <c r="CL21" i="20"/>
  <c r="CL20" i="20"/>
  <c r="CL19" i="20"/>
  <c r="CL18" i="20"/>
  <c r="CL17" i="20"/>
  <c r="CL16" i="20"/>
  <c r="CL15" i="20"/>
  <c r="CL14" i="20"/>
  <c r="CL13" i="20"/>
  <c r="CL12" i="20"/>
  <c r="CL11" i="20"/>
  <c r="CL10" i="20"/>
  <c r="CK36" i="20"/>
  <c r="CK35" i="20"/>
  <c r="CK34" i="20"/>
  <c r="CK33" i="20"/>
  <c r="CK32" i="20"/>
  <c r="CK31" i="20"/>
  <c r="CK30" i="20"/>
  <c r="CK29" i="20"/>
  <c r="CK28" i="20"/>
  <c r="CK27" i="20"/>
  <c r="CK26" i="20"/>
  <c r="CK25" i="20"/>
  <c r="CK24" i="20"/>
  <c r="CK23" i="20"/>
  <c r="CK22" i="20"/>
  <c r="CK21" i="20"/>
  <c r="CK20" i="20"/>
  <c r="CK19" i="20"/>
  <c r="CK18" i="20"/>
  <c r="CK17" i="20"/>
  <c r="CK16" i="20"/>
  <c r="CK15" i="20"/>
  <c r="CK14" i="20"/>
  <c r="CK13" i="20"/>
  <c r="CK12" i="20"/>
  <c r="CK11" i="20"/>
  <c r="CK10" i="20"/>
  <c r="CF36" i="20"/>
  <c r="CF35" i="20"/>
  <c r="CF34" i="20"/>
  <c r="CF33" i="20"/>
  <c r="CF32" i="20"/>
  <c r="CF31" i="20"/>
  <c r="CF30" i="20"/>
  <c r="CF29" i="20"/>
  <c r="CF28" i="20"/>
  <c r="CF27" i="20"/>
  <c r="CF26" i="20"/>
  <c r="CF25" i="20"/>
  <c r="CF24" i="20"/>
  <c r="CF23" i="20"/>
  <c r="CF22" i="20"/>
  <c r="CF21" i="20"/>
  <c r="CF20" i="20"/>
  <c r="CF19" i="20"/>
  <c r="CF18" i="20"/>
  <c r="CF17" i="20"/>
  <c r="CF16" i="20"/>
  <c r="CF15" i="20"/>
  <c r="CF14" i="20"/>
  <c r="CF13" i="20"/>
  <c r="CF12" i="20"/>
  <c r="CF11" i="20"/>
  <c r="CF10" i="20"/>
  <c r="CA36" i="20"/>
  <c r="CA35" i="20"/>
  <c r="CA34" i="20"/>
  <c r="CA33" i="20"/>
  <c r="CA32" i="20"/>
  <c r="CA31" i="20"/>
  <c r="CA30" i="20"/>
  <c r="CA29" i="20"/>
  <c r="CA28" i="20"/>
  <c r="CA27" i="20"/>
  <c r="CA26" i="20"/>
  <c r="CA25" i="20"/>
  <c r="CA24" i="20"/>
  <c r="CA23" i="20"/>
  <c r="CA22" i="20"/>
  <c r="CA21" i="20"/>
  <c r="CA20" i="20"/>
  <c r="CA19" i="20"/>
  <c r="CA18" i="20"/>
  <c r="CA17" i="20"/>
  <c r="CA16" i="20"/>
  <c r="CA15" i="20"/>
  <c r="CA14" i="20"/>
  <c r="CA13" i="20"/>
  <c r="CA12" i="20"/>
  <c r="CA11" i="20"/>
  <c r="CA10" i="20"/>
  <c r="BV36" i="20"/>
  <c r="BV35" i="20"/>
  <c r="BV34" i="20"/>
  <c r="BV33" i="20"/>
  <c r="BV32" i="20"/>
  <c r="BV31" i="20"/>
  <c r="BV30" i="20"/>
  <c r="BV29" i="20"/>
  <c r="BV28" i="20"/>
  <c r="BV27" i="20"/>
  <c r="BV26" i="20"/>
  <c r="BV25" i="20"/>
  <c r="BV24" i="20"/>
  <c r="BV23" i="20"/>
  <c r="BV22" i="20"/>
  <c r="BV21" i="20"/>
  <c r="BV20" i="20"/>
  <c r="BV19" i="20"/>
  <c r="BV18" i="20"/>
  <c r="BV17" i="20"/>
  <c r="BV16" i="20"/>
  <c r="BV15" i="20"/>
  <c r="BV14" i="20"/>
  <c r="BV13" i="20"/>
  <c r="BV12" i="20"/>
  <c r="BV11" i="20"/>
  <c r="BV10" i="20"/>
  <c r="BO36" i="20"/>
  <c r="BO35" i="20"/>
  <c r="BO34" i="20"/>
  <c r="BO33" i="20"/>
  <c r="BO32" i="20"/>
  <c r="BO31" i="20"/>
  <c r="BO30" i="20"/>
  <c r="BO29" i="20"/>
  <c r="BO28" i="20"/>
  <c r="BO27" i="20"/>
  <c r="BO26" i="20"/>
  <c r="BO25" i="20"/>
  <c r="BO24" i="20"/>
  <c r="BO23" i="20"/>
  <c r="BO22" i="20"/>
  <c r="BO21" i="20"/>
  <c r="BO20" i="20"/>
  <c r="BO19" i="20"/>
  <c r="BO18" i="20"/>
  <c r="BO17" i="20"/>
  <c r="BO16" i="20"/>
  <c r="BO15" i="20"/>
  <c r="BO14" i="20"/>
  <c r="BO13" i="20"/>
  <c r="BO12" i="20"/>
  <c r="BO11" i="20"/>
  <c r="BO10" i="20"/>
  <c r="BN36" i="20"/>
  <c r="BN35" i="20"/>
  <c r="BN34" i="20"/>
  <c r="BN33" i="20"/>
  <c r="BN32" i="20"/>
  <c r="BN31" i="20"/>
  <c r="BN30" i="20"/>
  <c r="BN29" i="20"/>
  <c r="BN28" i="20"/>
  <c r="BN27" i="20"/>
  <c r="BN26" i="20"/>
  <c r="BN25" i="20"/>
  <c r="BN24" i="20"/>
  <c r="BN23" i="20"/>
  <c r="BN22" i="20"/>
  <c r="BN21" i="20"/>
  <c r="BN20" i="20"/>
  <c r="BN19" i="20"/>
  <c r="BN18" i="20"/>
  <c r="BN17" i="20"/>
  <c r="BN16" i="20"/>
  <c r="BN15" i="20"/>
  <c r="BN14" i="20"/>
  <c r="BN13" i="20"/>
  <c r="BN12" i="20"/>
  <c r="BN11" i="20"/>
  <c r="BN10" i="20"/>
  <c r="BI36" i="20"/>
  <c r="BI35" i="20"/>
  <c r="BI34" i="20"/>
  <c r="BI33" i="20"/>
  <c r="BI32" i="20"/>
  <c r="BI31" i="20"/>
  <c r="BI30" i="20"/>
  <c r="BI29" i="20"/>
  <c r="BI28" i="20"/>
  <c r="BI27" i="20"/>
  <c r="BI26" i="20"/>
  <c r="BI25" i="20"/>
  <c r="BI24" i="20"/>
  <c r="BI23" i="20"/>
  <c r="BI22" i="20"/>
  <c r="BI21" i="20"/>
  <c r="BI20" i="20"/>
  <c r="BI19" i="20"/>
  <c r="BI18" i="20"/>
  <c r="BI17" i="20"/>
  <c r="BI16" i="20"/>
  <c r="BI15" i="20"/>
  <c r="BI14" i="20"/>
  <c r="BI13" i="20"/>
  <c r="BI12" i="20"/>
  <c r="BI11" i="20"/>
  <c r="BI10" i="20"/>
  <c r="BD36" i="20"/>
  <c r="BD35" i="20"/>
  <c r="BD34" i="20"/>
  <c r="BD33" i="20"/>
  <c r="BD32" i="20"/>
  <c r="BD31" i="20"/>
  <c r="BD30" i="20"/>
  <c r="BD29" i="20"/>
  <c r="BD28" i="20"/>
  <c r="BD27" i="20"/>
  <c r="BD26" i="20"/>
  <c r="BD25" i="20"/>
  <c r="BD24" i="20"/>
  <c r="BD23" i="20"/>
  <c r="BD22" i="20"/>
  <c r="BD21" i="20"/>
  <c r="BD20" i="20"/>
  <c r="BD19" i="20"/>
  <c r="BD18" i="20"/>
  <c r="BD17" i="20"/>
  <c r="BD16" i="20"/>
  <c r="BD15" i="20"/>
  <c r="BD14" i="20"/>
  <c r="BD13" i="20"/>
  <c r="BD12" i="20"/>
  <c r="BD11" i="20"/>
  <c r="BD10" i="20"/>
  <c r="AW36" i="20"/>
  <c r="AW35" i="20"/>
  <c r="AW34" i="20"/>
  <c r="AW33" i="20"/>
  <c r="AW32" i="20"/>
  <c r="AW31" i="20"/>
  <c r="AW30" i="20"/>
  <c r="AW29" i="20"/>
  <c r="AW28" i="20"/>
  <c r="AW27" i="20"/>
  <c r="AW26" i="20"/>
  <c r="AW25" i="20"/>
  <c r="AW24" i="20"/>
  <c r="AW23" i="20"/>
  <c r="AW22" i="20"/>
  <c r="AW21" i="20"/>
  <c r="AW20" i="20"/>
  <c r="AW19" i="20"/>
  <c r="AW18" i="20"/>
  <c r="AW17" i="20"/>
  <c r="AW16" i="20"/>
  <c r="AW15" i="20"/>
  <c r="AW14" i="20"/>
  <c r="AW13" i="20"/>
  <c r="AW12" i="20"/>
  <c r="AW11" i="20"/>
  <c r="AW10" i="20"/>
  <c r="AV36" i="20"/>
  <c r="AV35" i="20"/>
  <c r="AV34" i="20"/>
  <c r="AV33" i="20"/>
  <c r="AV32" i="20"/>
  <c r="AV31" i="20"/>
  <c r="AV30" i="20"/>
  <c r="AV29" i="20"/>
  <c r="AV28" i="20"/>
  <c r="AV27" i="20"/>
  <c r="AV26" i="20"/>
  <c r="AV25" i="20"/>
  <c r="AV24" i="20"/>
  <c r="AV23" i="20"/>
  <c r="AV22" i="20"/>
  <c r="AV21" i="20"/>
  <c r="AV20" i="20"/>
  <c r="AV19" i="20"/>
  <c r="AV18" i="20"/>
  <c r="AV17" i="20"/>
  <c r="AV16" i="20"/>
  <c r="AV15" i="20"/>
  <c r="AV14" i="20"/>
  <c r="AV13" i="20"/>
  <c r="AV12" i="20"/>
  <c r="AV11" i="20"/>
  <c r="AV10" i="20"/>
  <c r="AQ36" i="20"/>
  <c r="AQ35" i="20"/>
  <c r="AQ34" i="20"/>
  <c r="AQ33" i="20"/>
  <c r="AQ32" i="20"/>
  <c r="AQ31" i="20"/>
  <c r="AQ30" i="20"/>
  <c r="AQ29" i="20"/>
  <c r="AQ28" i="20"/>
  <c r="AQ27" i="20"/>
  <c r="AQ26" i="20"/>
  <c r="AQ25" i="20"/>
  <c r="AQ24" i="20"/>
  <c r="AQ23" i="20"/>
  <c r="AQ22" i="20"/>
  <c r="AQ21" i="20"/>
  <c r="AQ20" i="20"/>
  <c r="AQ19" i="20"/>
  <c r="AQ18" i="20"/>
  <c r="AQ17" i="20"/>
  <c r="AQ16" i="20"/>
  <c r="AQ15" i="20"/>
  <c r="AQ14" i="20"/>
  <c r="AQ13" i="20"/>
  <c r="AQ12" i="20"/>
  <c r="AQ11" i="20"/>
  <c r="AQ10" i="20"/>
  <c r="AL36" i="20"/>
  <c r="AL35" i="20"/>
  <c r="AL34" i="20"/>
  <c r="AL33" i="20"/>
  <c r="AL32" i="20"/>
  <c r="AL31" i="20"/>
  <c r="AL30" i="20"/>
  <c r="AL29" i="20"/>
  <c r="AL28" i="20"/>
  <c r="AL27" i="20"/>
  <c r="AL26" i="20"/>
  <c r="AL25" i="20"/>
  <c r="AL24" i="20"/>
  <c r="AL23" i="20"/>
  <c r="AL22" i="20"/>
  <c r="AL21" i="20"/>
  <c r="AL20" i="20"/>
  <c r="AL19" i="20"/>
  <c r="AL18" i="20"/>
  <c r="AL17" i="20"/>
  <c r="AL16" i="20"/>
  <c r="AL15" i="20"/>
  <c r="AL14" i="20"/>
  <c r="AL13" i="20"/>
  <c r="AL12" i="20"/>
  <c r="AL11" i="20"/>
  <c r="AL10" i="20"/>
  <c r="AE36" i="20"/>
  <c r="AE35" i="20"/>
  <c r="AE34" i="20"/>
  <c r="AE33" i="20"/>
  <c r="AE32" i="20"/>
  <c r="AE31" i="20"/>
  <c r="AE30" i="20"/>
  <c r="AE29" i="20"/>
  <c r="AE28" i="20"/>
  <c r="AE27" i="20"/>
  <c r="AE26" i="20"/>
  <c r="AE25" i="20"/>
  <c r="AE24" i="20"/>
  <c r="AE23" i="20"/>
  <c r="AE22" i="20"/>
  <c r="AE21" i="20"/>
  <c r="AE20" i="20"/>
  <c r="AE19" i="20"/>
  <c r="AE18" i="20"/>
  <c r="AE17" i="20"/>
  <c r="AE16" i="20"/>
  <c r="AE15" i="20"/>
  <c r="AE14" i="20"/>
  <c r="AE13" i="20"/>
  <c r="AE12" i="20"/>
  <c r="AE11" i="20"/>
  <c r="AE10" i="20"/>
  <c r="AD36" i="20"/>
  <c r="AD35" i="20"/>
  <c r="AD34" i="20"/>
  <c r="AD33" i="20"/>
  <c r="AD32" i="20"/>
  <c r="AD31" i="20"/>
  <c r="AD30" i="20"/>
  <c r="AD29" i="20"/>
  <c r="AD28" i="20"/>
  <c r="AD27" i="20"/>
  <c r="AD26" i="20"/>
  <c r="AD25" i="20"/>
  <c r="AD24" i="20"/>
  <c r="AD23" i="20"/>
  <c r="AD22" i="20"/>
  <c r="AD21" i="20"/>
  <c r="AD20" i="20"/>
  <c r="AD19" i="20"/>
  <c r="AD18" i="20"/>
  <c r="AD17" i="20"/>
  <c r="AD16" i="20"/>
  <c r="AD15" i="20"/>
  <c r="AD14" i="20"/>
  <c r="AD13" i="20"/>
  <c r="AD12" i="20"/>
  <c r="AD11" i="20"/>
  <c r="AD10" i="20"/>
  <c r="Y36" i="20"/>
  <c r="Y35" i="20"/>
  <c r="Y34" i="20"/>
  <c r="Y33" i="20"/>
  <c r="Y32" i="20"/>
  <c r="Y31" i="20"/>
  <c r="Y30" i="20"/>
  <c r="Y29" i="20"/>
  <c r="Y28" i="20"/>
  <c r="Y27" i="20"/>
  <c r="Y26" i="20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Y11" i="20"/>
  <c r="Y10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B36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10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K52" i="20"/>
  <c r="K51" i="20"/>
  <c r="K50" i="20"/>
  <c r="K49" i="20"/>
  <c r="K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48" i="20"/>
  <c r="DG36" i="20"/>
  <c r="DG35" i="20"/>
  <c r="DG34" i="20"/>
  <c r="DG33" i="20"/>
  <c r="DG32" i="20"/>
  <c r="DG31" i="20"/>
  <c r="DG30" i="20"/>
  <c r="DG29" i="20"/>
  <c r="DG28" i="20"/>
  <c r="DB36" i="20"/>
  <c r="DB35" i="20"/>
  <c r="DB34" i="20"/>
  <c r="DB33" i="20"/>
  <c r="DB32" i="20"/>
  <c r="DB31" i="20"/>
  <c r="DB30" i="20"/>
  <c r="DB29" i="20"/>
  <c r="DB28" i="20"/>
  <c r="CW36" i="20"/>
  <c r="CW35" i="20"/>
  <c r="CW34" i="20"/>
  <c r="CW33" i="20"/>
  <c r="CW32" i="20"/>
  <c r="CW31" i="20"/>
  <c r="CW30" i="20"/>
  <c r="CW29" i="20"/>
  <c r="CW28" i="20"/>
  <c r="CR36" i="20"/>
  <c r="CR35" i="20"/>
  <c r="CR34" i="20"/>
  <c r="CR33" i="20"/>
  <c r="CR32" i="20"/>
  <c r="CR31" i="20"/>
  <c r="CR30" i="20"/>
  <c r="CR29" i="20"/>
  <c r="CR28" i="20"/>
  <c r="CJ36" i="20"/>
  <c r="CJ35" i="20"/>
  <c r="CJ34" i="20"/>
  <c r="CJ33" i="20"/>
  <c r="CJ32" i="20"/>
  <c r="CJ31" i="20"/>
  <c r="CJ30" i="20"/>
  <c r="CJ29" i="20"/>
  <c r="CJ28" i="20"/>
  <c r="CJ27" i="20"/>
  <c r="CJ26" i="20"/>
  <c r="CJ25" i="20"/>
  <c r="CJ24" i="20"/>
  <c r="CJ23" i="20"/>
  <c r="CJ22" i="20"/>
  <c r="CJ21" i="20"/>
  <c r="CJ20" i="20"/>
  <c r="CJ19" i="20"/>
  <c r="CJ18" i="20"/>
  <c r="CJ17" i="20"/>
  <c r="CJ16" i="20"/>
  <c r="CJ15" i="20"/>
  <c r="CJ14" i="20"/>
  <c r="CJ13" i="20"/>
  <c r="CJ12" i="20"/>
  <c r="CJ11" i="20"/>
  <c r="CJ10" i="20"/>
  <c r="CE36" i="20"/>
  <c r="CE35" i="20"/>
  <c r="CE34" i="20"/>
  <c r="CE33" i="20"/>
  <c r="CE32" i="20"/>
  <c r="CE31" i="20"/>
  <c r="CE30" i="20"/>
  <c r="CE29" i="20"/>
  <c r="CE28" i="20"/>
  <c r="CE27" i="20"/>
  <c r="CE26" i="20"/>
  <c r="CE25" i="20"/>
  <c r="CE24" i="20"/>
  <c r="CE23" i="20"/>
  <c r="CE22" i="20"/>
  <c r="CE21" i="20"/>
  <c r="CE20" i="20"/>
  <c r="CE19" i="20"/>
  <c r="CE18" i="20"/>
  <c r="CE17" i="20"/>
  <c r="CE16" i="20"/>
  <c r="CE15" i="20"/>
  <c r="CE14" i="20"/>
  <c r="CE13" i="20"/>
  <c r="CE12" i="20"/>
  <c r="CE11" i="20"/>
  <c r="CE10" i="20"/>
  <c r="BZ36" i="20"/>
  <c r="BZ35" i="20"/>
  <c r="BZ34" i="20"/>
  <c r="BZ33" i="20"/>
  <c r="BZ32" i="20"/>
  <c r="BZ31" i="20"/>
  <c r="BZ30" i="20"/>
  <c r="BZ29" i="20"/>
  <c r="BZ28" i="20"/>
  <c r="BZ27" i="20"/>
  <c r="BZ26" i="20"/>
  <c r="BZ25" i="20"/>
  <c r="BZ24" i="20"/>
  <c r="BZ23" i="20"/>
  <c r="BZ22" i="20"/>
  <c r="BZ21" i="20"/>
  <c r="BZ20" i="20"/>
  <c r="BZ19" i="20"/>
  <c r="BZ18" i="20"/>
  <c r="BZ17" i="20"/>
  <c r="BZ16" i="20"/>
  <c r="BZ15" i="20"/>
  <c r="BZ14" i="20"/>
  <c r="BZ13" i="20"/>
  <c r="BZ12" i="20"/>
  <c r="BZ11" i="20"/>
  <c r="BZ10" i="20"/>
  <c r="BU36" i="20"/>
  <c r="BU35" i="20"/>
  <c r="BU34" i="20"/>
  <c r="BU33" i="20"/>
  <c r="BU32" i="20"/>
  <c r="BU31" i="20"/>
  <c r="BU30" i="20"/>
  <c r="BU29" i="20"/>
  <c r="BU28" i="20"/>
  <c r="BU27" i="20"/>
  <c r="BU26" i="20"/>
  <c r="BU25" i="20"/>
  <c r="BU24" i="20"/>
  <c r="BU23" i="20"/>
  <c r="BU22" i="20"/>
  <c r="BU21" i="20"/>
  <c r="BU20" i="20"/>
  <c r="BU19" i="20"/>
  <c r="BU18" i="20"/>
  <c r="BU17" i="20"/>
  <c r="BU16" i="20"/>
  <c r="BU15" i="20"/>
  <c r="BU14" i="20"/>
  <c r="BU13" i="20"/>
  <c r="BU12" i="20"/>
  <c r="BU11" i="20"/>
  <c r="BU10" i="20"/>
  <c r="BM36" i="20"/>
  <c r="BM35" i="20"/>
  <c r="BM34" i="20"/>
  <c r="BM33" i="20"/>
  <c r="BM32" i="20"/>
  <c r="BM31" i="20"/>
  <c r="BM30" i="20"/>
  <c r="BM29" i="20"/>
  <c r="BM28" i="20"/>
  <c r="BM27" i="20"/>
  <c r="BM26" i="20"/>
  <c r="BM25" i="20"/>
  <c r="BM24" i="20"/>
  <c r="BM23" i="20"/>
  <c r="BM22" i="20"/>
  <c r="BM21" i="20"/>
  <c r="BM20" i="20"/>
  <c r="BM19" i="20"/>
  <c r="BM18" i="20"/>
  <c r="BM17" i="20"/>
  <c r="BM16" i="20"/>
  <c r="BM15" i="20"/>
  <c r="BM14" i="20"/>
  <c r="BM13" i="20"/>
  <c r="BM12" i="20"/>
  <c r="BM11" i="20"/>
  <c r="BM10" i="20"/>
  <c r="BH36" i="20"/>
  <c r="BH35" i="20"/>
  <c r="BH34" i="20"/>
  <c r="BH33" i="20"/>
  <c r="BH32" i="20"/>
  <c r="BH31" i="20"/>
  <c r="BH30" i="20"/>
  <c r="BH29" i="20"/>
  <c r="BH28" i="20"/>
  <c r="BH27" i="20"/>
  <c r="BH26" i="20"/>
  <c r="BH25" i="20"/>
  <c r="BH24" i="20"/>
  <c r="BH23" i="20"/>
  <c r="BH22" i="20"/>
  <c r="BH21" i="20"/>
  <c r="BH20" i="20"/>
  <c r="BH19" i="20"/>
  <c r="BH18" i="20"/>
  <c r="BH17" i="20"/>
  <c r="BH16" i="20"/>
  <c r="BH15" i="20"/>
  <c r="BH14" i="20"/>
  <c r="BH13" i="20"/>
  <c r="BH12" i="20"/>
  <c r="BH11" i="20"/>
  <c r="BH10" i="20"/>
  <c r="BC36" i="20"/>
  <c r="BC35" i="20"/>
  <c r="BC34" i="20"/>
  <c r="BC33" i="20"/>
  <c r="BC32" i="20"/>
  <c r="BC31" i="20"/>
  <c r="BC30" i="20"/>
  <c r="BC29" i="20"/>
  <c r="BC28" i="20"/>
  <c r="BC27" i="20"/>
  <c r="BC26" i="20"/>
  <c r="BC25" i="20"/>
  <c r="BC24" i="20"/>
  <c r="BC23" i="20"/>
  <c r="BC22" i="20"/>
  <c r="BC21" i="20"/>
  <c r="BC20" i="20"/>
  <c r="BC19" i="20"/>
  <c r="BC18" i="20"/>
  <c r="BC17" i="20"/>
  <c r="BC16" i="20"/>
  <c r="BC15" i="20"/>
  <c r="BC14" i="20"/>
  <c r="BC13" i="20"/>
  <c r="BC12" i="20"/>
  <c r="BC11" i="20"/>
  <c r="BC10" i="20"/>
  <c r="AU36" i="20"/>
  <c r="AU35" i="20"/>
  <c r="AU34" i="20"/>
  <c r="AU33" i="20"/>
  <c r="AU32" i="20"/>
  <c r="AU31" i="20"/>
  <c r="AU30" i="20"/>
  <c r="AU29" i="20"/>
  <c r="AU28" i="20"/>
  <c r="AU27" i="20"/>
  <c r="AU26" i="20"/>
  <c r="AU25" i="20"/>
  <c r="AU24" i="20"/>
  <c r="AU23" i="20"/>
  <c r="AU22" i="20"/>
  <c r="AU21" i="20"/>
  <c r="AU20" i="20"/>
  <c r="AU19" i="20"/>
  <c r="AU18" i="20"/>
  <c r="AU17" i="20"/>
  <c r="AU16" i="20"/>
  <c r="AU15" i="20"/>
  <c r="AU14" i="20"/>
  <c r="AU13" i="20"/>
  <c r="AU12" i="20"/>
  <c r="AU11" i="20"/>
  <c r="AU10" i="20"/>
  <c r="AP36" i="20"/>
  <c r="AP35" i="20"/>
  <c r="AP34" i="20"/>
  <c r="AP33" i="20"/>
  <c r="AP32" i="20"/>
  <c r="AP31" i="20"/>
  <c r="AP30" i="20"/>
  <c r="AP29" i="20"/>
  <c r="AP28" i="20"/>
  <c r="AP27" i="20"/>
  <c r="AP26" i="20"/>
  <c r="AP25" i="20"/>
  <c r="AP24" i="20"/>
  <c r="AP23" i="20"/>
  <c r="AP22" i="20"/>
  <c r="AP21" i="20"/>
  <c r="AP20" i="20"/>
  <c r="AP19" i="20"/>
  <c r="AP18" i="20"/>
  <c r="AP17" i="20"/>
  <c r="AP16" i="20"/>
  <c r="AP15" i="20"/>
  <c r="AP14" i="20"/>
  <c r="AP13" i="20"/>
  <c r="AP12" i="20"/>
  <c r="AP11" i="20"/>
  <c r="AP10" i="20"/>
  <c r="AK36" i="20"/>
  <c r="AK35" i="20"/>
  <c r="AK34" i="20"/>
  <c r="AK33" i="20"/>
  <c r="AK32" i="20"/>
  <c r="AK31" i="20"/>
  <c r="AK30" i="20"/>
  <c r="AK29" i="20"/>
  <c r="AK28" i="20"/>
  <c r="AK27" i="20"/>
  <c r="AK26" i="20"/>
  <c r="AK25" i="20"/>
  <c r="AK24" i="20"/>
  <c r="AK23" i="20"/>
  <c r="AK22" i="20"/>
  <c r="AK21" i="20"/>
  <c r="AK20" i="20"/>
  <c r="AK19" i="20"/>
  <c r="AK18" i="20"/>
  <c r="AK17" i="20"/>
  <c r="AK16" i="20"/>
  <c r="AK15" i="20"/>
  <c r="AK14" i="20"/>
  <c r="AK13" i="20"/>
  <c r="AK12" i="20"/>
  <c r="AK11" i="20"/>
  <c r="AK10" i="20"/>
  <c r="AC36" i="20"/>
  <c r="AC35" i="20"/>
  <c r="AC34" i="20"/>
  <c r="AC33" i="20"/>
  <c r="AC32" i="20"/>
  <c r="AC31" i="20"/>
  <c r="AC30" i="20"/>
  <c r="AC29" i="20"/>
  <c r="AC28" i="20"/>
  <c r="AC27" i="20"/>
  <c r="AC26" i="20"/>
  <c r="AC25" i="20"/>
  <c r="AC24" i="20"/>
  <c r="AC23" i="20"/>
  <c r="AC22" i="20"/>
  <c r="AC21" i="20"/>
  <c r="AC20" i="20"/>
  <c r="AC19" i="20"/>
  <c r="AC18" i="20"/>
  <c r="AC17" i="20"/>
  <c r="AC16" i="20"/>
  <c r="AC15" i="20"/>
  <c r="AC14" i="20"/>
  <c r="AC13" i="20"/>
  <c r="AC12" i="20"/>
  <c r="AC11" i="20"/>
  <c r="AC10" i="20"/>
  <c r="X36" i="20"/>
  <c r="X35" i="20"/>
  <c r="X34" i="20"/>
  <c r="X33" i="20"/>
  <c r="X32" i="20"/>
  <c r="X31" i="20"/>
  <c r="X30" i="20"/>
  <c r="X29" i="20"/>
  <c r="X28" i="20"/>
  <c r="X27" i="20"/>
  <c r="X26" i="20"/>
  <c r="X25" i="20"/>
  <c r="X24" i="20"/>
  <c r="X23" i="20"/>
  <c r="X22" i="20"/>
  <c r="X21" i="20"/>
  <c r="X20" i="20"/>
  <c r="X19" i="20"/>
  <c r="X18" i="20"/>
  <c r="X17" i="20"/>
  <c r="X16" i="20"/>
  <c r="X15" i="20"/>
  <c r="X14" i="20"/>
  <c r="X13" i="20"/>
  <c r="X12" i="20"/>
  <c r="X11" i="20"/>
  <c r="X10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10" i="20"/>
  <c r="A9" i="20"/>
  <c r="E15" i="14"/>
  <c r="F15" i="14"/>
  <c r="G15" i="14"/>
  <c r="H15" i="14"/>
  <c r="I15" i="14"/>
  <c r="J15" i="14"/>
  <c r="E7" i="14"/>
  <c r="F7" i="14"/>
  <c r="G7" i="14"/>
  <c r="H7" i="14"/>
  <c r="I7" i="14"/>
  <c r="J7" i="14"/>
  <c r="E8" i="14"/>
  <c r="F8" i="14"/>
  <c r="G8" i="14"/>
  <c r="H8" i="14"/>
  <c r="I8" i="14"/>
  <c r="J8" i="14"/>
  <c r="E9" i="14"/>
  <c r="F9" i="14"/>
  <c r="G9" i="14"/>
  <c r="H9" i="14"/>
  <c r="I9" i="14"/>
  <c r="J9" i="14"/>
  <c r="E10" i="14"/>
  <c r="F10" i="14"/>
  <c r="G10" i="14"/>
  <c r="H10" i="14"/>
  <c r="I10" i="14"/>
  <c r="J10" i="14"/>
  <c r="E11" i="14"/>
  <c r="F11" i="14"/>
  <c r="G11" i="14"/>
  <c r="H11" i="14"/>
  <c r="I11" i="14"/>
  <c r="J11" i="14"/>
  <c r="E12" i="14"/>
  <c r="F12" i="14"/>
  <c r="G12" i="14"/>
  <c r="H12" i="14"/>
  <c r="I12" i="14"/>
  <c r="J12" i="14"/>
  <c r="E13" i="14"/>
  <c r="F13" i="14"/>
  <c r="G13" i="14"/>
  <c r="H13" i="14"/>
  <c r="I13" i="14"/>
  <c r="J13" i="14"/>
  <c r="E14" i="14"/>
  <c r="F14" i="14"/>
  <c r="G14" i="14"/>
  <c r="H14" i="14"/>
  <c r="I14" i="14"/>
  <c r="J14" i="14"/>
  <c r="J6" i="14"/>
  <c r="I6" i="14"/>
  <c r="H6" i="14"/>
  <c r="G6" i="14"/>
  <c r="F6" i="14"/>
  <c r="E6" i="14"/>
  <c r="G9" i="8" l="1"/>
  <c r="G10" i="8"/>
  <c r="G11" i="8"/>
  <c r="G8" i="8"/>
  <c r="F9" i="8"/>
  <c r="F10" i="8"/>
  <c r="F11" i="8"/>
  <c r="F8" i="8"/>
  <c r="G9" i="5"/>
  <c r="G10" i="5"/>
  <c r="G11" i="5"/>
  <c r="G8" i="5"/>
  <c r="F9" i="5"/>
  <c r="F10" i="5"/>
  <c r="F11" i="5"/>
  <c r="F8" i="5"/>
  <c r="K40" i="23"/>
  <c r="L40" i="23"/>
  <c r="M40" i="23"/>
  <c r="S40" i="23"/>
  <c r="T40" i="23"/>
  <c r="U40" i="23"/>
  <c r="P41" i="23"/>
  <c r="Q41" i="23"/>
  <c r="R41" i="23"/>
  <c r="M42" i="23"/>
  <c r="N42" i="23"/>
  <c r="O42" i="23"/>
  <c r="U42" i="23"/>
  <c r="K43" i="23"/>
  <c r="L43" i="23"/>
  <c r="R43" i="23"/>
  <c r="S43" i="23"/>
  <c r="T43" i="23"/>
  <c r="O44" i="23"/>
  <c r="P44" i="23"/>
  <c r="Q44" i="23"/>
  <c r="K13" i="23"/>
  <c r="L13" i="23"/>
  <c r="M13" i="23"/>
  <c r="N13" i="23"/>
  <c r="N40" i="23" s="1"/>
  <c r="O13" i="23"/>
  <c r="O40" i="23" s="1"/>
  <c r="P13" i="23"/>
  <c r="P40" i="23" s="1"/>
  <c r="Q13" i="23"/>
  <c r="Q40" i="23" s="1"/>
  <c r="R13" i="23"/>
  <c r="R40" i="23" s="1"/>
  <c r="S13" i="23"/>
  <c r="T13" i="23"/>
  <c r="U13" i="23"/>
  <c r="K14" i="23"/>
  <c r="K41" i="23" s="1"/>
  <c r="L14" i="23"/>
  <c r="L41" i="23" s="1"/>
  <c r="M14" i="23"/>
  <c r="M41" i="23" s="1"/>
  <c r="N14" i="23"/>
  <c r="N41" i="23" s="1"/>
  <c r="O14" i="23"/>
  <c r="O41" i="23" s="1"/>
  <c r="P14" i="23"/>
  <c r="Q14" i="23"/>
  <c r="R14" i="23"/>
  <c r="S14" i="23"/>
  <c r="S41" i="23" s="1"/>
  <c r="T14" i="23"/>
  <c r="T41" i="23" s="1"/>
  <c r="U14" i="23"/>
  <c r="U41" i="23" s="1"/>
  <c r="K15" i="23"/>
  <c r="K42" i="23" s="1"/>
  <c r="L15" i="23"/>
  <c r="L42" i="23" s="1"/>
  <c r="M15" i="23"/>
  <c r="N15" i="23"/>
  <c r="O15" i="23"/>
  <c r="P15" i="23"/>
  <c r="P42" i="23" s="1"/>
  <c r="Q15" i="23"/>
  <c r="Q42" i="23" s="1"/>
  <c r="R15" i="23"/>
  <c r="R42" i="23" s="1"/>
  <c r="S15" i="23"/>
  <c r="S42" i="23" s="1"/>
  <c r="T15" i="23"/>
  <c r="T42" i="23" s="1"/>
  <c r="U15" i="23"/>
  <c r="K16" i="23"/>
  <c r="L16" i="23"/>
  <c r="M16" i="23"/>
  <c r="M43" i="23" s="1"/>
  <c r="N16" i="23"/>
  <c r="N43" i="23" s="1"/>
  <c r="O16" i="23"/>
  <c r="O43" i="23" s="1"/>
  <c r="P16" i="23"/>
  <c r="P43" i="23" s="1"/>
  <c r="Q16" i="23"/>
  <c r="Q43" i="23" s="1"/>
  <c r="R16" i="23"/>
  <c r="S16" i="23"/>
  <c r="T16" i="23"/>
  <c r="U16" i="23"/>
  <c r="U43" i="23" s="1"/>
  <c r="K17" i="23"/>
  <c r="K44" i="23" s="1"/>
  <c r="L17" i="23"/>
  <c r="L44" i="23" s="1"/>
  <c r="M17" i="23"/>
  <c r="M44" i="23" s="1"/>
  <c r="N17" i="23"/>
  <c r="N44" i="23" s="1"/>
  <c r="O17" i="23"/>
  <c r="P17" i="23"/>
  <c r="Q17" i="23"/>
  <c r="R17" i="23"/>
  <c r="R44" i="23" s="1"/>
  <c r="S17" i="23"/>
  <c r="S44" i="23" s="1"/>
  <c r="T17" i="23"/>
  <c r="T44" i="23" s="1"/>
  <c r="U17" i="23"/>
  <c r="U44" i="23" s="1"/>
  <c r="K18" i="23"/>
  <c r="L18" i="23"/>
  <c r="M18" i="23"/>
  <c r="N18" i="23"/>
  <c r="O18" i="23"/>
  <c r="P18" i="23"/>
  <c r="Q18" i="23"/>
  <c r="R18" i="23"/>
  <c r="S18" i="23"/>
  <c r="T18" i="23"/>
  <c r="U18" i="23"/>
  <c r="Q39" i="23"/>
  <c r="Q23" i="23"/>
  <c r="Q12" i="23"/>
  <c r="C39" i="23"/>
  <c r="D39" i="23"/>
  <c r="E39" i="23"/>
  <c r="F39" i="23"/>
  <c r="G39" i="23"/>
  <c r="H39" i="23"/>
  <c r="I39" i="23"/>
  <c r="J39" i="23"/>
  <c r="K39" i="23"/>
  <c r="L39" i="23"/>
  <c r="M39" i="23"/>
  <c r="N39" i="23"/>
  <c r="O39" i="23"/>
  <c r="P39" i="23"/>
  <c r="R39" i="23"/>
  <c r="S39" i="23"/>
  <c r="T39" i="23"/>
  <c r="U39" i="23"/>
  <c r="B39" i="23"/>
  <c r="C23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R23" i="23"/>
  <c r="S23" i="23"/>
  <c r="T23" i="23"/>
  <c r="U23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R12" i="23"/>
  <c r="S12" i="23"/>
  <c r="T12" i="23"/>
  <c r="U12" i="23"/>
  <c r="B23" i="23"/>
  <c r="B12" i="23"/>
  <c r="C37" i="27" l="1"/>
  <c r="C36" i="27"/>
  <c r="C35" i="27"/>
  <c r="C34" i="27"/>
  <c r="A34" i="27"/>
  <c r="C33" i="27"/>
  <c r="C28" i="27"/>
  <c r="C27" i="27"/>
  <c r="C26" i="27"/>
  <c r="A26" i="27"/>
  <c r="C25" i="27"/>
  <c r="C24" i="27"/>
  <c r="C19" i="27"/>
  <c r="C18" i="27"/>
  <c r="C17" i="27"/>
  <c r="C16" i="27"/>
  <c r="C15" i="27"/>
  <c r="C10" i="27"/>
  <c r="C9" i="27"/>
  <c r="C8" i="27"/>
  <c r="C7" i="27"/>
  <c r="C6" i="27"/>
  <c r="A18" i="27"/>
  <c r="A9" i="27"/>
  <c r="A8" i="27"/>
  <c r="A7" i="27"/>
  <c r="A6" i="27"/>
  <c r="A52" i="23"/>
  <c r="A25" i="27" s="1"/>
  <c r="A53" i="23"/>
  <c r="A17" i="27" s="1"/>
  <c r="A54" i="23"/>
  <c r="A36" i="27" s="1"/>
  <c r="A55" i="23"/>
  <c r="A37" i="27" s="1"/>
  <c r="A51" i="23"/>
  <c r="A33" i="27" s="1"/>
  <c r="A41" i="23"/>
  <c r="A42" i="23"/>
  <c r="A43" i="23"/>
  <c r="A44" i="23"/>
  <c r="A40" i="23"/>
  <c r="A26" i="23"/>
  <c r="A27" i="23"/>
  <c r="A28" i="23"/>
  <c r="A29" i="23"/>
  <c r="A30" i="23"/>
  <c r="A25" i="23"/>
  <c r="A14" i="23"/>
  <c r="A15" i="23"/>
  <c r="A16" i="23"/>
  <c r="A17" i="23"/>
  <c r="A18" i="23"/>
  <c r="A13" i="23"/>
  <c r="R9" i="7"/>
  <c r="S9" i="7"/>
  <c r="T9" i="7"/>
  <c r="U9" i="7"/>
  <c r="R10" i="7"/>
  <c r="S10" i="7"/>
  <c r="T10" i="7"/>
  <c r="U10" i="7"/>
  <c r="R11" i="7"/>
  <c r="S11" i="7"/>
  <c r="T11" i="7"/>
  <c r="U11" i="7"/>
  <c r="R12" i="7"/>
  <c r="S12" i="7"/>
  <c r="T12" i="7"/>
  <c r="U12" i="7"/>
  <c r="R13" i="7"/>
  <c r="S13" i="7"/>
  <c r="T13" i="7"/>
  <c r="U13" i="7"/>
  <c r="R14" i="7"/>
  <c r="S14" i="7"/>
  <c r="T14" i="7"/>
  <c r="U14" i="7"/>
  <c r="Q10" i="7"/>
  <c r="Q11" i="7"/>
  <c r="Q12" i="7"/>
  <c r="Q13" i="7"/>
  <c r="Q14" i="7"/>
  <c r="Q9" i="7"/>
  <c r="R5" i="7"/>
  <c r="S5" i="7"/>
  <c r="T5" i="7"/>
  <c r="U5" i="7"/>
  <c r="R6" i="7"/>
  <c r="S6" i="7"/>
  <c r="T6" i="7"/>
  <c r="U6" i="7"/>
  <c r="R7" i="7"/>
  <c r="S7" i="7"/>
  <c r="T7" i="7"/>
  <c r="U7" i="7"/>
  <c r="R8" i="7"/>
  <c r="S8" i="7"/>
  <c r="T8" i="7"/>
  <c r="U8" i="7"/>
  <c r="Q6" i="7"/>
  <c r="Q7" i="7"/>
  <c r="Q8" i="7"/>
  <c r="Q5" i="7"/>
  <c r="O10" i="7"/>
  <c r="O11" i="7"/>
  <c r="O12" i="7"/>
  <c r="O13" i="7"/>
  <c r="O14" i="7"/>
  <c r="O9" i="7"/>
  <c r="N10" i="7"/>
  <c r="N11" i="7"/>
  <c r="N12" i="7"/>
  <c r="N13" i="7"/>
  <c r="N14" i="7"/>
  <c r="N9" i="7"/>
  <c r="N6" i="7"/>
  <c r="N7" i="7"/>
  <c r="N8" i="7"/>
  <c r="N5" i="7"/>
  <c r="O8" i="7"/>
  <c r="O6" i="7"/>
  <c r="O7" i="7"/>
  <c r="O5" i="7"/>
  <c r="P5" i="7"/>
  <c r="P6" i="7"/>
  <c r="P7" i="7"/>
  <c r="P8" i="7"/>
  <c r="P10" i="7"/>
  <c r="P11" i="7"/>
  <c r="P12" i="7"/>
  <c r="P13" i="7"/>
  <c r="P14" i="7"/>
  <c r="P9" i="7"/>
  <c r="A19" i="27" l="1"/>
  <c r="A27" i="27"/>
  <c r="A35" i="27"/>
  <c r="A10" i="27"/>
  <c r="A24" i="27"/>
  <c r="A28" i="27"/>
  <c r="A15" i="27"/>
  <c r="A16" i="27"/>
  <c r="C32" i="14"/>
  <c r="D32" i="14"/>
  <c r="E32" i="14"/>
  <c r="F32" i="14"/>
  <c r="G32" i="14"/>
  <c r="H32" i="14"/>
  <c r="I32" i="14"/>
  <c r="J32" i="14"/>
  <c r="C33" i="14"/>
  <c r="D33" i="14"/>
  <c r="E33" i="14"/>
  <c r="F33" i="14"/>
  <c r="G33" i="14"/>
  <c r="H33" i="14"/>
  <c r="I33" i="14"/>
  <c r="J33" i="14"/>
  <c r="C34" i="14"/>
  <c r="D34" i="14"/>
  <c r="E34" i="14"/>
  <c r="F34" i="14"/>
  <c r="G34" i="14"/>
  <c r="H34" i="14"/>
  <c r="I34" i="14"/>
  <c r="J34" i="14"/>
  <c r="C35" i="14"/>
  <c r="D35" i="14"/>
  <c r="E35" i="14"/>
  <c r="F35" i="14"/>
  <c r="G35" i="14"/>
  <c r="H35" i="14"/>
  <c r="I35" i="14"/>
  <c r="J35" i="14"/>
  <c r="C36" i="14"/>
  <c r="D36" i="14"/>
  <c r="E36" i="14"/>
  <c r="F36" i="14"/>
  <c r="G36" i="14"/>
  <c r="H36" i="14"/>
  <c r="I36" i="14"/>
  <c r="J36" i="14"/>
  <c r="C37" i="14"/>
  <c r="D37" i="14"/>
  <c r="E37" i="14"/>
  <c r="F37" i="14"/>
  <c r="G37" i="14"/>
  <c r="H37" i="14"/>
  <c r="I37" i="14"/>
  <c r="J37" i="14"/>
  <c r="C38" i="14"/>
  <c r="D38" i="14"/>
  <c r="E38" i="14"/>
  <c r="F38" i="14"/>
  <c r="G38" i="14"/>
  <c r="H38" i="14"/>
  <c r="I38" i="14"/>
  <c r="J38" i="14"/>
  <c r="C39" i="14"/>
  <c r="D39" i="14"/>
  <c r="E39" i="14"/>
  <c r="F39" i="14"/>
  <c r="G39" i="14"/>
  <c r="H39" i="14"/>
  <c r="I39" i="14"/>
  <c r="J39" i="14"/>
  <c r="C40" i="14"/>
  <c r="D40" i="14"/>
  <c r="E40" i="14"/>
  <c r="F40" i="14"/>
  <c r="G40" i="14"/>
  <c r="H40" i="14"/>
  <c r="I40" i="14"/>
  <c r="J40" i="14"/>
  <c r="C41" i="14"/>
  <c r="D41" i="14"/>
  <c r="E41" i="14"/>
  <c r="F41" i="14"/>
  <c r="G41" i="14"/>
  <c r="H41" i="14"/>
  <c r="I41" i="14"/>
  <c r="J41" i="14"/>
  <c r="C42" i="14"/>
  <c r="D42" i="14"/>
  <c r="E42" i="14"/>
  <c r="F42" i="14"/>
  <c r="G42" i="14"/>
  <c r="H42" i="14"/>
  <c r="I42" i="14"/>
  <c r="J42" i="14"/>
  <c r="C43" i="14"/>
  <c r="D43" i="14"/>
  <c r="E43" i="14"/>
  <c r="F43" i="14"/>
  <c r="G43" i="14"/>
  <c r="H43" i="14"/>
  <c r="I43" i="14"/>
  <c r="J43" i="14"/>
  <c r="C44" i="14"/>
  <c r="D44" i="14"/>
  <c r="E44" i="14"/>
  <c r="F44" i="14"/>
  <c r="G44" i="14"/>
  <c r="H44" i="14"/>
  <c r="I44" i="14"/>
  <c r="J44" i="14"/>
  <c r="C45" i="14"/>
  <c r="D45" i="14"/>
  <c r="E45" i="14"/>
  <c r="F45" i="14"/>
  <c r="G45" i="14"/>
  <c r="H45" i="14"/>
  <c r="I45" i="14"/>
  <c r="J45" i="14"/>
  <c r="C20" i="14"/>
  <c r="M8" i="7"/>
  <c r="M15" i="7"/>
  <c r="CY36" i="20" l="1"/>
  <c r="DE36" i="20" s="1"/>
  <c r="CY35" i="20"/>
  <c r="DE35" i="20" s="1"/>
  <c r="CY34" i="20"/>
  <c r="DE34" i="20" s="1"/>
  <c r="CY33" i="20"/>
  <c r="DE33" i="20" s="1"/>
  <c r="CY32" i="20"/>
  <c r="DE32" i="20" s="1"/>
  <c r="CY31" i="20"/>
  <c r="DE31" i="20" s="1"/>
  <c r="CY30" i="20"/>
  <c r="DE30" i="20" s="1"/>
  <c r="CY29" i="20"/>
  <c r="DE29" i="20" s="1"/>
  <c r="CY28" i="20"/>
  <c r="DE28" i="20" s="1"/>
  <c r="DE37" i="20" l="1"/>
  <c r="A4" i="26"/>
  <c r="A5" i="26" s="1"/>
  <c r="A6" i="26" s="1"/>
  <c r="A7" i="26" s="1"/>
  <c r="A8" i="26" s="1"/>
  <c r="A9" i="26" s="1"/>
  <c r="A10" i="26" s="1"/>
  <c r="A11" i="26" s="1"/>
  <c r="G36" i="26" l="1"/>
  <c r="CB9" i="20" l="1"/>
  <c r="CH9" i="20" s="1"/>
  <c r="CB10" i="20"/>
  <c r="CH10" i="20" s="1"/>
  <c r="CB11" i="20"/>
  <c r="CH11" i="20" s="1"/>
  <c r="CB12" i="20"/>
  <c r="CH12" i="20" s="1"/>
  <c r="CB13" i="20"/>
  <c r="CH13" i="20" s="1"/>
  <c r="CB14" i="20"/>
  <c r="CH14" i="20" s="1"/>
  <c r="CB15" i="20"/>
  <c r="CH15" i="20" s="1"/>
  <c r="BX16" i="20"/>
  <c r="CB16" i="20" s="1"/>
  <c r="CH16" i="20" s="1"/>
  <c r="BX17" i="20"/>
  <c r="BX18" i="20"/>
  <c r="BW16" i="20"/>
  <c r="BX19" i="20"/>
  <c r="BX20" i="20"/>
  <c r="BX21" i="20"/>
  <c r="BX22" i="20"/>
  <c r="BX23" i="20"/>
  <c r="BX24" i="20"/>
  <c r="BX25" i="20"/>
  <c r="BX26" i="20"/>
  <c r="BX27" i="20"/>
  <c r="BX28" i="20"/>
  <c r="BX29" i="20"/>
  <c r="BX30" i="20"/>
  <c r="BX31" i="20"/>
  <c r="BX32" i="20"/>
  <c r="BX33" i="20"/>
  <c r="BX34" i="20"/>
  <c r="BX35" i="20"/>
  <c r="BX36" i="20"/>
  <c r="M5" i="7" l="1"/>
  <c r="M6" i="7"/>
  <c r="M7" i="7"/>
  <c r="M9" i="7"/>
  <c r="M10" i="7"/>
  <c r="M11" i="7"/>
  <c r="M12" i="7"/>
  <c r="M13" i="7"/>
  <c r="M14" i="7"/>
  <c r="L6" i="7"/>
  <c r="L7" i="7"/>
  <c r="L8" i="7"/>
  <c r="L9" i="7"/>
  <c r="L10" i="7"/>
  <c r="L11" i="7"/>
  <c r="L12" i="7"/>
  <c r="L13" i="7"/>
  <c r="L14" i="7"/>
  <c r="L5" i="7"/>
  <c r="O10" i="21" l="1"/>
  <c r="O9" i="21"/>
  <c r="O8" i="21"/>
  <c r="O7" i="21"/>
  <c r="I9" i="5" l="1"/>
  <c r="I10" i="5"/>
  <c r="I11" i="5"/>
  <c r="H9" i="5"/>
  <c r="H10" i="5"/>
  <c r="H11" i="5"/>
  <c r="J10" i="5" l="1"/>
  <c r="J9" i="5"/>
  <c r="J11" i="5"/>
  <c r="K10" i="5" l="1"/>
  <c r="J18" i="23"/>
  <c r="I18" i="23"/>
  <c r="H18" i="23"/>
  <c r="G18" i="23"/>
  <c r="F18" i="23"/>
  <c r="E18" i="23"/>
  <c r="D18" i="23"/>
  <c r="C18" i="23"/>
  <c r="B18" i="23"/>
  <c r="J17" i="23"/>
  <c r="J44" i="23" s="1"/>
  <c r="I17" i="23"/>
  <c r="I44" i="23" s="1"/>
  <c r="H17" i="23"/>
  <c r="H44" i="23" s="1"/>
  <c r="G17" i="23"/>
  <c r="G44" i="23" s="1"/>
  <c r="F17" i="23"/>
  <c r="F44" i="23" s="1"/>
  <c r="E17" i="23"/>
  <c r="E44" i="23" s="1"/>
  <c r="D17" i="23"/>
  <c r="D44" i="23" s="1"/>
  <c r="C17" i="23"/>
  <c r="C44" i="23" s="1"/>
  <c r="B17" i="23"/>
  <c r="B44" i="23" s="1"/>
  <c r="J16" i="23"/>
  <c r="J43" i="23" s="1"/>
  <c r="I16" i="23"/>
  <c r="I43" i="23" s="1"/>
  <c r="H16" i="23"/>
  <c r="H43" i="23" s="1"/>
  <c r="G16" i="23"/>
  <c r="G43" i="23" s="1"/>
  <c r="F16" i="23"/>
  <c r="F43" i="23" s="1"/>
  <c r="E16" i="23"/>
  <c r="E43" i="23" s="1"/>
  <c r="D16" i="23"/>
  <c r="D43" i="23" s="1"/>
  <c r="C16" i="23"/>
  <c r="C43" i="23" s="1"/>
  <c r="B16" i="23"/>
  <c r="B43" i="23" s="1"/>
  <c r="J15" i="23"/>
  <c r="J42" i="23" s="1"/>
  <c r="I15" i="23"/>
  <c r="I42" i="23" s="1"/>
  <c r="H15" i="23"/>
  <c r="H42" i="23" s="1"/>
  <c r="G15" i="23"/>
  <c r="G42" i="23" s="1"/>
  <c r="F15" i="23"/>
  <c r="F42" i="23" s="1"/>
  <c r="E15" i="23"/>
  <c r="E42" i="23" s="1"/>
  <c r="D15" i="23"/>
  <c r="D42" i="23" s="1"/>
  <c r="C15" i="23"/>
  <c r="C42" i="23" s="1"/>
  <c r="B15" i="23"/>
  <c r="B42" i="23" s="1"/>
  <c r="J14" i="23"/>
  <c r="J41" i="23" s="1"/>
  <c r="I14" i="23"/>
  <c r="I41" i="23" s="1"/>
  <c r="H14" i="23"/>
  <c r="H41" i="23" s="1"/>
  <c r="G14" i="23"/>
  <c r="G41" i="23" s="1"/>
  <c r="F14" i="23"/>
  <c r="F41" i="23" s="1"/>
  <c r="E14" i="23"/>
  <c r="E41" i="23" s="1"/>
  <c r="D14" i="23"/>
  <c r="D41" i="23" s="1"/>
  <c r="C14" i="23"/>
  <c r="C41" i="23" s="1"/>
  <c r="B14" i="23"/>
  <c r="B41" i="23" s="1"/>
  <c r="J13" i="23"/>
  <c r="J40" i="23" s="1"/>
  <c r="I13" i="23"/>
  <c r="I40" i="23" s="1"/>
  <c r="H13" i="23"/>
  <c r="H40" i="23" s="1"/>
  <c r="G13" i="23"/>
  <c r="G40" i="23" s="1"/>
  <c r="F13" i="23"/>
  <c r="F40" i="23" s="1"/>
  <c r="E13" i="23"/>
  <c r="E40" i="23" s="1"/>
  <c r="D13" i="23"/>
  <c r="D40" i="23" s="1"/>
  <c r="C13" i="23"/>
  <c r="C40" i="23" s="1"/>
  <c r="B13" i="23"/>
  <c r="B40" i="23" s="1"/>
  <c r="V9" i="23"/>
  <c r="V8" i="23"/>
  <c r="D7" i="21" s="1"/>
  <c r="V7" i="23"/>
  <c r="D6" i="21" s="1"/>
  <c r="V6" i="23"/>
  <c r="D5" i="21" s="1"/>
  <c r="V5" i="23"/>
  <c r="D4" i="21" s="1"/>
  <c r="V4" i="23"/>
  <c r="D3" i="21" s="1"/>
  <c r="V43" i="23" l="1"/>
  <c r="V44" i="23"/>
  <c r="V40" i="23"/>
  <c r="V41" i="23"/>
  <c r="V42" i="23"/>
  <c r="V17" i="23"/>
  <c r="B55" i="23" s="1"/>
  <c r="B10" i="27" s="1"/>
  <c r="D10" i="27" s="1"/>
  <c r="V16" i="23"/>
  <c r="B54" i="23" s="1"/>
  <c r="B9" i="27" s="1"/>
  <c r="D9" i="27" s="1"/>
  <c r="V14" i="23"/>
  <c r="B52" i="23" s="1"/>
  <c r="B7" i="27" s="1"/>
  <c r="D7" i="27" s="1"/>
  <c r="V13" i="23"/>
  <c r="B51" i="23" s="1"/>
  <c r="V15" i="23"/>
  <c r="B53" i="23" s="1"/>
  <c r="B8" i="27" s="1"/>
  <c r="D8" i="27" s="1"/>
  <c r="V18" i="23"/>
  <c r="B6" i="27" l="1"/>
  <c r="D52" i="23"/>
  <c r="B25" i="27" s="1"/>
  <c r="D25" i="27" s="1"/>
  <c r="D55" i="23"/>
  <c r="B28" i="27" s="1"/>
  <c r="D28" i="27" s="1"/>
  <c r="D51" i="23"/>
  <c r="B24" i="27" s="1"/>
  <c r="D54" i="23"/>
  <c r="B27" i="27" s="1"/>
  <c r="D27" i="27" s="1"/>
  <c r="D53" i="23"/>
  <c r="B26" i="27" s="1"/>
  <c r="D26" i="27" s="1"/>
  <c r="F22" i="14"/>
  <c r="B11" i="27" l="1"/>
  <c r="D6" i="27"/>
  <c r="D11" i="27" s="1"/>
  <c r="AM13" i="20" s="1"/>
  <c r="B29" i="27"/>
  <c r="D24" i="27"/>
  <c r="D29" i="27" s="1"/>
  <c r="AM33" i="20" s="1"/>
  <c r="AA12" i="7"/>
  <c r="AM21" i="20" l="1"/>
  <c r="AM29" i="20"/>
  <c r="AM22" i="20"/>
  <c r="AM30" i="20"/>
  <c r="AM28" i="20"/>
  <c r="AM23" i="20"/>
  <c r="AM31" i="20"/>
  <c r="AM35" i="20"/>
  <c r="AM24" i="20"/>
  <c r="AM32" i="20"/>
  <c r="AM34" i="20"/>
  <c r="AM25" i="20"/>
  <c r="AM17" i="20"/>
  <c r="AM20" i="20"/>
  <c r="AM18" i="20"/>
  <c r="AM26" i="20"/>
  <c r="AM19" i="20"/>
  <c r="AM27" i="20"/>
  <c r="CB35" i="20"/>
  <c r="CH35" i="20" s="1"/>
  <c r="CB36" i="20"/>
  <c r="CH36" i="20" s="1"/>
  <c r="C31" i="14"/>
  <c r="AU14" i="7" s="1"/>
  <c r="D31" i="14"/>
  <c r="E31" i="14"/>
  <c r="F31" i="14"/>
  <c r="G31" i="14"/>
  <c r="H31" i="14"/>
  <c r="I31" i="14"/>
  <c r="J31" i="14"/>
  <c r="D15" i="7"/>
  <c r="AO14" i="7"/>
  <c r="AN14" i="7"/>
  <c r="AO13" i="7"/>
  <c r="AN13" i="7"/>
  <c r="AZ14" i="7" l="1"/>
  <c r="AB14" i="7"/>
  <c r="B74" i="26" l="1"/>
  <c r="I24" i="14"/>
  <c r="C22" i="14"/>
  <c r="J29" i="14"/>
  <c r="F24" i="14"/>
  <c r="AG5" i="7" l="1"/>
  <c r="AA5" i="7"/>
  <c r="AF5" i="7"/>
  <c r="AE5" i="7"/>
  <c r="AD5" i="7"/>
  <c r="AH5" i="7"/>
  <c r="AC5" i="7"/>
  <c r="AB5" i="7"/>
  <c r="C15" i="7"/>
  <c r="K5" i="20" l="1"/>
  <c r="DG5" i="20" s="1"/>
  <c r="DK23" i="20" l="1"/>
  <c r="DK19" i="20"/>
  <c r="DK15" i="20"/>
  <c r="DK16" i="20"/>
  <c r="DK26" i="20"/>
  <c r="DK25" i="20"/>
  <c r="DK20" i="20"/>
  <c r="DK27" i="20"/>
  <c r="DK24" i="20"/>
  <c r="DK21" i="20"/>
  <c r="DK18" i="20"/>
  <c r="DK17" i="20"/>
  <c r="DK22" i="20"/>
  <c r="DK36" i="20"/>
  <c r="DK32" i="20"/>
  <c r="DK34" i="20"/>
  <c r="DK28" i="20"/>
  <c r="DK31" i="20"/>
  <c r="DK29" i="20"/>
  <c r="DK35" i="20"/>
  <c r="DK33" i="20"/>
  <c r="DK30" i="20"/>
  <c r="CJ5" i="20"/>
  <c r="BM5" i="20"/>
  <c r="AU5" i="20"/>
  <c r="AC5" i="20"/>
  <c r="K45" i="20"/>
  <c r="D20" i="14"/>
  <c r="E20" i="14"/>
  <c r="F20" i="14"/>
  <c r="G20" i="14"/>
  <c r="H20" i="14"/>
  <c r="I20" i="14"/>
  <c r="J20" i="14"/>
  <c r="D21" i="14"/>
  <c r="E21" i="14"/>
  <c r="F21" i="14"/>
  <c r="G21" i="14"/>
  <c r="H21" i="14"/>
  <c r="I21" i="14"/>
  <c r="J21" i="14"/>
  <c r="D22" i="14"/>
  <c r="E22" i="14"/>
  <c r="G22" i="14"/>
  <c r="H22" i="14"/>
  <c r="I22" i="14"/>
  <c r="J22" i="14"/>
  <c r="D23" i="14"/>
  <c r="E23" i="14"/>
  <c r="F23" i="14"/>
  <c r="G23" i="14"/>
  <c r="H23" i="14"/>
  <c r="I23" i="14"/>
  <c r="J23" i="14"/>
  <c r="D24" i="14"/>
  <c r="E24" i="14"/>
  <c r="G24" i="14"/>
  <c r="H24" i="14"/>
  <c r="J24" i="14"/>
  <c r="D25" i="14"/>
  <c r="E25" i="14"/>
  <c r="F25" i="14"/>
  <c r="G25" i="14"/>
  <c r="H25" i="14"/>
  <c r="I25" i="14"/>
  <c r="J25" i="14"/>
  <c r="D26" i="14"/>
  <c r="E26" i="14"/>
  <c r="F26" i="14"/>
  <c r="G26" i="14"/>
  <c r="H26" i="14"/>
  <c r="I26" i="14"/>
  <c r="J26" i="14"/>
  <c r="D27" i="14"/>
  <c r="E27" i="14"/>
  <c r="F27" i="14"/>
  <c r="G27" i="14"/>
  <c r="H27" i="14"/>
  <c r="I27" i="14"/>
  <c r="J27" i="14"/>
  <c r="D28" i="14"/>
  <c r="E28" i="14"/>
  <c r="F28" i="14"/>
  <c r="G28" i="14"/>
  <c r="H28" i="14"/>
  <c r="I28" i="14"/>
  <c r="J28" i="14"/>
  <c r="D29" i="14"/>
  <c r="AR14" i="7" s="1"/>
  <c r="E29" i="14"/>
  <c r="F29" i="14"/>
  <c r="G29" i="14"/>
  <c r="AQ14" i="7" s="1"/>
  <c r="H29" i="14"/>
  <c r="AP14" i="7" s="1"/>
  <c r="I29" i="14"/>
  <c r="AS14" i="7" s="1"/>
  <c r="D30" i="14"/>
  <c r="E30" i="14"/>
  <c r="F30" i="14"/>
  <c r="G30" i="14"/>
  <c r="H30" i="14"/>
  <c r="I30" i="14"/>
  <c r="AS13" i="7" s="1"/>
  <c r="J30" i="14"/>
  <c r="C21" i="14"/>
  <c r="C23" i="14"/>
  <c r="C24" i="14"/>
  <c r="C25" i="14"/>
  <c r="C26" i="14"/>
  <c r="C27" i="14"/>
  <c r="C28" i="14"/>
  <c r="C29" i="14"/>
  <c r="AT14" i="7" s="1"/>
  <c r="C30" i="14"/>
  <c r="AP13" i="7" l="1"/>
  <c r="AP7" i="7"/>
  <c r="AQ7" i="7"/>
  <c r="AQ13" i="7"/>
  <c r="AR13" i="7"/>
  <c r="DK37" i="20"/>
  <c r="AT13" i="7"/>
  <c r="AU13" i="7"/>
  <c r="CN36" i="20"/>
  <c r="CN35" i="20"/>
  <c r="B39" i="22" l="1"/>
  <c r="B12" i="22"/>
  <c r="CN15" i="20"/>
  <c r="AB12" i="7"/>
  <c r="BD14" i="7" l="1"/>
  <c r="AF14" i="7"/>
  <c r="BC14" i="7"/>
  <c r="AE14" i="7"/>
  <c r="BA14" i="7"/>
  <c r="AC14" i="7"/>
  <c r="AG14" i="7"/>
  <c r="BE14" i="7"/>
  <c r="AA14" i="7"/>
  <c r="AY14" i="7"/>
  <c r="AF9" i="7"/>
  <c r="AE9" i="7"/>
  <c r="AF6" i="7"/>
  <c r="AD9" i="7"/>
  <c r="AE6" i="7"/>
  <c r="AG6" i="7"/>
  <c r="AD6" i="7"/>
  <c r="AB9" i="7"/>
  <c r="AB8" i="7"/>
  <c r="AH9" i="7"/>
  <c r="AB7" i="7"/>
  <c r="AC9" i="7"/>
  <c r="AC6" i="7"/>
  <c r="AB10" i="7"/>
  <c r="AB6" i="7"/>
  <c r="AA6" i="7"/>
  <c r="AG9" i="7"/>
  <c r="AH6" i="7"/>
  <c r="AD14" i="7" l="1"/>
  <c r="BB14" i="7"/>
  <c r="AR6" i="7"/>
  <c r="AR8" i="7"/>
  <c r="AR9" i="7"/>
  <c r="AR10" i="7"/>
  <c r="AR11" i="7"/>
  <c r="AR12" i="7"/>
  <c r="AR5" i="7"/>
  <c r="AR7" i="7"/>
  <c r="AU12" i="7"/>
  <c r="AT12" i="7"/>
  <c r="AS12" i="7"/>
  <c r="AQ12" i="7"/>
  <c r="AP12" i="7"/>
  <c r="AO12" i="7"/>
  <c r="AN12" i="7"/>
  <c r="AU11" i="7"/>
  <c r="AT11" i="7"/>
  <c r="AS11" i="7"/>
  <c r="AQ11" i="7"/>
  <c r="AP11" i="7"/>
  <c r="AO11" i="7"/>
  <c r="AN11" i="7"/>
  <c r="AU10" i="7"/>
  <c r="AT10" i="7"/>
  <c r="AS10" i="7"/>
  <c r="AQ10" i="7"/>
  <c r="AP10" i="7"/>
  <c r="AO10" i="7"/>
  <c r="AN10" i="7"/>
  <c r="AU9" i="7"/>
  <c r="AT9" i="7"/>
  <c r="AS9" i="7"/>
  <c r="AQ9" i="7"/>
  <c r="AP9" i="7"/>
  <c r="AO9" i="7"/>
  <c r="AN9" i="7"/>
  <c r="AU8" i="7"/>
  <c r="AT8" i="7"/>
  <c r="AS8" i="7"/>
  <c r="AQ8" i="7"/>
  <c r="AP8" i="7"/>
  <c r="AO8" i="7"/>
  <c r="AN8" i="7"/>
  <c r="AU7" i="7"/>
  <c r="AT7" i="7"/>
  <c r="AS7" i="7"/>
  <c r="AO7" i="7"/>
  <c r="AN7" i="7"/>
  <c r="AU6" i="7"/>
  <c r="AT6" i="7"/>
  <c r="AS6" i="7"/>
  <c r="AQ6" i="7"/>
  <c r="AP6" i="7"/>
  <c r="AO6" i="7"/>
  <c r="AN6" i="7"/>
  <c r="AU5" i="7"/>
  <c r="AT5" i="7"/>
  <c r="AS5" i="7"/>
  <c r="AQ5" i="7"/>
  <c r="AP5" i="7"/>
  <c r="AO5" i="7"/>
  <c r="AN5" i="7"/>
  <c r="CB34" i="20" l="1"/>
  <c r="CH34" i="20" s="1"/>
  <c r="CN34" i="20" l="1"/>
  <c r="CB17" i="20" l="1"/>
  <c r="CH17" i="20" s="1"/>
  <c r="CB19" i="20"/>
  <c r="CB20" i="20"/>
  <c r="CB21" i="20"/>
  <c r="CB22" i="20"/>
  <c r="CB23" i="20"/>
  <c r="CB24" i="20"/>
  <c r="CB26" i="20"/>
  <c r="CB27" i="20"/>
  <c r="CB28" i="20"/>
  <c r="CB29" i="20"/>
  <c r="CB30" i="20"/>
  <c r="CB31" i="20"/>
  <c r="CB32" i="20"/>
  <c r="CB33" i="20"/>
  <c r="CH33" i="20" s="1"/>
  <c r="CB25" i="20"/>
  <c r="CB18" i="20"/>
  <c r="CN33" i="20" l="1"/>
  <c r="I11" i="24"/>
  <c r="H11" i="24"/>
  <c r="I10" i="24"/>
  <c r="H10" i="24"/>
  <c r="I9" i="24"/>
  <c r="H9" i="24"/>
  <c r="I8" i="24"/>
  <c r="H8" i="24"/>
  <c r="J10" i="24" l="1"/>
  <c r="BE35" i="20" s="1"/>
  <c r="J11" i="24"/>
  <c r="BF35" i="20" s="1"/>
  <c r="J8" i="24"/>
  <c r="J9" i="24"/>
  <c r="BK35" i="20" l="1"/>
  <c r="BF13" i="20"/>
  <c r="BF15" i="20"/>
  <c r="BE13" i="20"/>
  <c r="BE15" i="20"/>
  <c r="K10" i="24"/>
  <c r="K8" i="24"/>
  <c r="BC12" i="7"/>
  <c r="BQ35" i="20" l="1"/>
  <c r="BE17" i="20"/>
  <c r="BE28" i="20"/>
  <c r="BE20" i="20"/>
  <c r="BE36" i="20"/>
  <c r="BE27" i="20"/>
  <c r="BE19" i="20"/>
  <c r="BE22" i="20"/>
  <c r="BE34" i="20"/>
  <c r="BE26" i="20"/>
  <c r="BE18" i="20"/>
  <c r="BE32" i="20"/>
  <c r="BE24" i="20"/>
  <c r="BE31" i="20"/>
  <c r="BE23" i="20"/>
  <c r="BE30" i="20"/>
  <c r="BE29" i="20"/>
  <c r="BE21" i="20"/>
  <c r="BE25" i="20"/>
  <c r="BE33" i="20"/>
  <c r="BF34" i="20"/>
  <c r="BF26" i="20"/>
  <c r="BF18" i="20"/>
  <c r="BF30" i="20"/>
  <c r="BF22" i="20"/>
  <c r="BF23" i="20"/>
  <c r="BF21" i="20"/>
  <c r="BF31" i="20"/>
  <c r="BF20" i="20"/>
  <c r="BF28" i="20"/>
  <c r="BF24" i="20"/>
  <c r="BF19" i="20"/>
  <c r="BF27" i="20"/>
  <c r="BF25" i="20"/>
  <c r="BF36" i="20"/>
  <c r="BF17" i="20"/>
  <c r="BF32" i="20"/>
  <c r="BF29" i="20"/>
  <c r="BF33" i="20"/>
  <c r="AG10" i="7"/>
  <c r="AE10" i="7"/>
  <c r="AC10" i="7"/>
  <c r="AD10" i="7"/>
  <c r="BK21" i="20" l="1"/>
  <c r="BQ21" i="20" s="1"/>
  <c r="BK33" i="20"/>
  <c r="BQ33" i="20" s="1"/>
  <c r="BK36" i="20"/>
  <c r="AF10" i="7"/>
  <c r="AH10" i="7"/>
  <c r="BK30" i="20"/>
  <c r="BK24" i="20"/>
  <c r="BK19" i="20"/>
  <c r="BK28" i="20"/>
  <c r="BK22" i="20"/>
  <c r="BK31" i="20"/>
  <c r="BK27" i="20"/>
  <c r="BK20" i="20"/>
  <c r="BK29" i="20"/>
  <c r="BK23" i="20"/>
  <c r="BK18" i="20"/>
  <c r="BK17" i="20"/>
  <c r="BK25" i="20"/>
  <c r="BK32" i="20"/>
  <c r="BK34" i="20"/>
  <c r="BK26" i="20"/>
  <c r="BK37" i="20" l="1"/>
  <c r="BQ36" i="20"/>
  <c r="BQ29" i="20"/>
  <c r="BQ24" i="20"/>
  <c r="BQ26" i="20"/>
  <c r="BQ20" i="20"/>
  <c r="BQ30" i="20"/>
  <c r="BQ25" i="20"/>
  <c r="BQ17" i="20"/>
  <c r="BQ18" i="20"/>
  <c r="BQ23" i="20"/>
  <c r="BQ27" i="20"/>
  <c r="BQ22" i="20"/>
  <c r="BQ28" i="20"/>
  <c r="BQ19" i="20"/>
  <c r="BQ34" i="20"/>
  <c r="BQ32" i="20"/>
  <c r="BQ31" i="20"/>
  <c r="AG12" i="7"/>
  <c r="AH12" i="7" l="1"/>
  <c r="AG13" i="7"/>
  <c r="BE13" i="7"/>
  <c r="AH13" i="7"/>
  <c r="BF13" i="7"/>
  <c r="BQ37" i="20"/>
  <c r="B10" i="22" l="1"/>
  <c r="B37" i="22" s="1"/>
  <c r="AG11" i="7" l="1"/>
  <c r="AH11" i="7"/>
  <c r="AG8" i="7"/>
  <c r="AH8" i="7"/>
  <c r="BE9" i="7"/>
  <c r="BE6" i="7"/>
  <c r="BE5" i="7"/>
  <c r="T15" i="7" l="1"/>
  <c r="AD12" i="21" s="1"/>
  <c r="I15" i="7"/>
  <c r="AH7" i="7"/>
  <c r="J15" i="7"/>
  <c r="BE8" i="7"/>
  <c r="BE10" i="7"/>
  <c r="BE12" i="7"/>
  <c r="BE11" i="7"/>
  <c r="AG7" i="7" l="1"/>
  <c r="AG15" i="7" s="1"/>
  <c r="B18" i="22" s="1"/>
  <c r="BE7" i="7"/>
  <c r="AH12" i="21"/>
  <c r="C54" i="23" l="1"/>
  <c r="C55" i="23"/>
  <c r="C53" i="23"/>
  <c r="C51" i="23"/>
  <c r="C52" i="23"/>
  <c r="B56" i="23"/>
  <c r="D8" i="21"/>
  <c r="E55" i="23" l="1"/>
  <c r="B37" i="27" s="1"/>
  <c r="D37" i="27" s="1"/>
  <c r="B19" i="27"/>
  <c r="D19" i="27" s="1"/>
  <c r="E52" i="23"/>
  <c r="B34" i="27" s="1"/>
  <c r="B16" i="27"/>
  <c r="D16" i="27" s="1"/>
  <c r="E51" i="23"/>
  <c r="B33" i="27" s="1"/>
  <c r="D33" i="27" s="1"/>
  <c r="B15" i="27"/>
  <c r="E53" i="23"/>
  <c r="B35" i="27" s="1"/>
  <c r="D35" i="27" s="1"/>
  <c r="B17" i="27"/>
  <c r="D17" i="27" s="1"/>
  <c r="E54" i="23"/>
  <c r="B36" i="27" s="1"/>
  <c r="D36" i="27" s="1"/>
  <c r="B18" i="27"/>
  <c r="D18" i="27" s="1"/>
  <c r="D56" i="23"/>
  <c r="B38" i="27" l="1"/>
  <c r="D34" i="27"/>
  <c r="D38" i="27" s="1"/>
  <c r="AN33" i="20" s="1"/>
  <c r="D15" i="27"/>
  <c r="D20" i="27" s="1"/>
  <c r="AN13" i="20" s="1"/>
  <c r="B20" i="27"/>
  <c r="C56" i="23"/>
  <c r="AN36" i="20" l="1"/>
  <c r="AN23" i="20"/>
  <c r="AN31" i="20"/>
  <c r="AN35" i="20"/>
  <c r="AN24" i="20"/>
  <c r="AN32" i="20"/>
  <c r="AN34" i="20"/>
  <c r="AN25" i="20"/>
  <c r="AN17" i="20"/>
  <c r="AN18" i="20"/>
  <c r="AN26" i="20"/>
  <c r="AN19" i="20"/>
  <c r="AN27" i="20"/>
  <c r="AN20" i="20"/>
  <c r="AN28" i="20"/>
  <c r="AN30" i="20"/>
  <c r="AN21" i="20"/>
  <c r="AN29" i="20"/>
  <c r="AN22" i="20"/>
  <c r="E56" i="23"/>
  <c r="AC7" i="7" l="1"/>
  <c r="E15" i="7"/>
  <c r="AA7" i="7"/>
  <c r="AD7" i="7"/>
  <c r="F15" i="7"/>
  <c r="G15" i="7"/>
  <c r="AF7" i="7"/>
  <c r="H15" i="7"/>
  <c r="BF8" i="7"/>
  <c r="AZ7" i="7"/>
  <c r="V6" i="7"/>
  <c r="I51" i="20" s="1"/>
  <c r="AY6" i="7"/>
  <c r="BF5" i="7"/>
  <c r="BF9" i="7"/>
  <c r="BF10" i="7"/>
  <c r="BF6" i="7"/>
  <c r="BF11" i="7"/>
  <c r="BC9" i="7"/>
  <c r="BB5" i="7"/>
  <c r="BF12" i="7"/>
  <c r="BC10" i="7"/>
  <c r="BB9" i="7"/>
  <c r="BC6" i="7"/>
  <c r="BF7" i="7"/>
  <c r="BC5" i="7"/>
  <c r="BA9" i="7"/>
  <c r="AZ5" i="7"/>
  <c r="BA10" i="7"/>
  <c r="AZ9" i="7"/>
  <c r="BA6" i="7"/>
  <c r="BD5" i="7"/>
  <c r="BA5" i="7"/>
  <c r="BB10" i="7"/>
  <c r="AZ8" i="7"/>
  <c r="BB6" i="7"/>
  <c r="AZ10" i="7"/>
  <c r="AZ6" i="7"/>
  <c r="BD9" i="7"/>
  <c r="BD10" i="7"/>
  <c r="BD6" i="7"/>
  <c r="BD7" i="7" l="1"/>
  <c r="BA7" i="7"/>
  <c r="AE7" i="7"/>
  <c r="AI7" i="7" s="1"/>
  <c r="O52" i="20" s="1"/>
  <c r="BB7" i="7"/>
  <c r="BC7" i="7"/>
  <c r="AH13" i="21"/>
  <c r="BG6" i="7"/>
  <c r="V7" i="7"/>
  <c r="I52" i="20" s="1"/>
  <c r="AY7" i="7"/>
  <c r="AI6" i="7"/>
  <c r="O51" i="20" s="1"/>
  <c r="BG7" i="7" l="1"/>
  <c r="AD12" i="7" l="1"/>
  <c r="AE12" i="7"/>
  <c r="AF13" i="7"/>
  <c r="BB12" i="7"/>
  <c r="AC12" i="7" l="1"/>
  <c r="AF12" i="7"/>
  <c r="BC13" i="7"/>
  <c r="AE13" i="7"/>
  <c r="BA13" i="7"/>
  <c r="AC13" i="7"/>
  <c r="AD13" i="7"/>
  <c r="BB13" i="7"/>
  <c r="BD13" i="7"/>
  <c r="BD12" i="7"/>
  <c r="BA12" i="7"/>
  <c r="AC11" i="7" l="1"/>
  <c r="AE11" i="7"/>
  <c r="AF11" i="7"/>
  <c r="AD11" i="7"/>
  <c r="P15" i="7"/>
  <c r="R15" i="7"/>
  <c r="Q15" i="7"/>
  <c r="S15" i="7"/>
  <c r="BC11" i="7"/>
  <c r="BD11" i="7"/>
  <c r="BA11" i="7"/>
  <c r="BB11" i="7"/>
  <c r="AC8" i="7" l="1"/>
  <c r="AC15" i="7" s="1"/>
  <c r="B17" i="22" s="1"/>
  <c r="AD8" i="7"/>
  <c r="AD15" i="7" s="1"/>
  <c r="B19" i="22" s="1"/>
  <c r="AF8" i="7"/>
  <c r="AF15" i="7" s="1"/>
  <c r="B15" i="22" s="1"/>
  <c r="BB8" i="7"/>
  <c r="AE8" i="7"/>
  <c r="AE15" i="7" s="1"/>
  <c r="B16" i="22" s="1"/>
  <c r="BC8" i="7"/>
  <c r="AD6" i="21"/>
  <c r="AD7" i="21"/>
  <c r="BD8" i="7"/>
  <c r="AD9" i="21"/>
  <c r="BA8" i="7"/>
  <c r="AD8" i="21"/>
  <c r="AH7" i="21" l="1"/>
  <c r="BB16" i="7"/>
  <c r="AH9" i="21"/>
  <c r="BD16" i="7"/>
  <c r="AH8" i="21"/>
  <c r="BA16" i="7"/>
  <c r="AH6" i="21"/>
  <c r="AG14" i="21" s="1"/>
  <c r="BC16" i="7"/>
  <c r="AC14" i="21"/>
  <c r="AA13" i="7" l="1"/>
  <c r="AY13" i="7"/>
  <c r="AA11" i="7"/>
  <c r="AA9" i="7"/>
  <c r="AI9" i="7" s="1"/>
  <c r="O54" i="20" s="1"/>
  <c r="J16" i="7"/>
  <c r="AY11" i="7"/>
  <c r="AY12" i="7"/>
  <c r="V9" i="7"/>
  <c r="I54" i="20" s="1"/>
  <c r="AY9" i="7"/>
  <c r="BG9" i="7" s="1"/>
  <c r="V5" i="7"/>
  <c r="I50" i="20" s="1"/>
  <c r="AY5" i="7"/>
  <c r="V12" i="7"/>
  <c r="N15" i="7" l="1"/>
  <c r="AD11" i="21" s="1"/>
  <c r="AB13" i="7"/>
  <c r="AI13" i="7" s="1"/>
  <c r="AA8" i="7"/>
  <c r="AI8" i="7" s="1"/>
  <c r="O53" i="20" s="1"/>
  <c r="V11" i="7"/>
  <c r="AB11" i="7"/>
  <c r="AI11" i="7" s="1"/>
  <c r="BG5" i="7"/>
  <c r="AA10" i="7"/>
  <c r="AI10" i="7" s="1"/>
  <c r="V8" i="7"/>
  <c r="I53" i="20" s="1"/>
  <c r="AY8" i="7"/>
  <c r="BG8" i="7" s="1"/>
  <c r="AI5" i="7"/>
  <c r="O50" i="20" s="1"/>
  <c r="V10" i="7"/>
  <c r="AY10" i="7"/>
  <c r="BG10" i="7" s="1"/>
  <c r="AI12" i="7"/>
  <c r="AZ12" i="7"/>
  <c r="BG12" i="7" s="1"/>
  <c r="AZ11" i="7"/>
  <c r="V13" i="7" l="1"/>
  <c r="AZ13" i="7"/>
  <c r="BG13" i="7" s="1"/>
  <c r="O15" i="7"/>
  <c r="AD10" i="21" s="1"/>
  <c r="AB15" i="7"/>
  <c r="BF14" i="7"/>
  <c r="BG14" i="7" s="1"/>
  <c r="AH14" i="7"/>
  <c r="V14" i="7"/>
  <c r="I75" i="20" s="1"/>
  <c r="U15" i="7"/>
  <c r="AA15" i="7"/>
  <c r="AH11" i="21"/>
  <c r="BG11" i="7"/>
  <c r="AH10" i="21"/>
  <c r="AZ16" i="7" l="1"/>
  <c r="BG15" i="7"/>
  <c r="AI14" i="7"/>
  <c r="O75" i="20" s="1"/>
  <c r="AH15" i="7"/>
  <c r="B22" i="22" s="1"/>
  <c r="AD13" i="21"/>
  <c r="AD14" i="21" s="1"/>
  <c r="V15" i="7"/>
  <c r="B20" i="22"/>
  <c r="M9" i="21"/>
  <c r="M5" i="21"/>
  <c r="H10" i="8"/>
  <c r="P9" i="21"/>
  <c r="O5" i="21"/>
  <c r="H11" i="8"/>
  <c r="O6" i="21"/>
  <c r="I11" i="8"/>
  <c r="H8" i="5"/>
  <c r="M7" i="21"/>
  <c r="M3" i="21"/>
  <c r="H8" i="8"/>
  <c r="M4" i="21"/>
  <c r="I8" i="8"/>
  <c r="I8" i="5"/>
  <c r="M8" i="21"/>
  <c r="O3" i="21"/>
  <c r="H9" i="8"/>
  <c r="M10" i="21"/>
  <c r="M6" i="21"/>
  <c r="I10" i="8"/>
  <c r="O4" i="21"/>
  <c r="I9" i="8"/>
  <c r="AH14" i="21"/>
  <c r="B21" i="22"/>
  <c r="BG16" i="7" l="1"/>
  <c r="B25" i="22" s="1"/>
  <c r="B44" i="22" s="1"/>
  <c r="J9" i="8"/>
  <c r="D13" i="20" s="1"/>
  <c r="J8" i="8"/>
  <c r="J11" i="8"/>
  <c r="D35" i="20" s="1"/>
  <c r="P3" i="21"/>
  <c r="N3" i="21"/>
  <c r="P5" i="21"/>
  <c r="AH16" i="7"/>
  <c r="AD15" i="21" s="1"/>
  <c r="B23" i="22"/>
  <c r="B42" i="22" s="1"/>
  <c r="J10" i="8"/>
  <c r="C35" i="20" s="1"/>
  <c r="N5" i="21"/>
  <c r="N9" i="21"/>
  <c r="AH15" i="21" l="1"/>
  <c r="K8" i="8"/>
  <c r="D15" i="20"/>
  <c r="K10" i="8"/>
  <c r="I35" i="20"/>
  <c r="C13" i="20"/>
  <c r="C15" i="20"/>
  <c r="B26" i="22"/>
  <c r="D17" i="20" l="1"/>
  <c r="D23" i="20"/>
  <c r="D18" i="20"/>
  <c r="D36" i="20"/>
  <c r="D33" i="20"/>
  <c r="D25" i="20"/>
  <c r="D28" i="20"/>
  <c r="D29" i="20"/>
  <c r="D32" i="20"/>
  <c r="D20" i="20"/>
  <c r="D27" i="20"/>
  <c r="D26" i="20"/>
  <c r="D31" i="20"/>
  <c r="D34" i="20"/>
  <c r="D24" i="20"/>
  <c r="D22" i="20"/>
  <c r="D19" i="20"/>
  <c r="D21" i="20"/>
  <c r="D30" i="20"/>
  <c r="C30" i="20"/>
  <c r="C22" i="20"/>
  <c r="C34" i="20"/>
  <c r="C26" i="20"/>
  <c r="C18" i="20"/>
  <c r="C25" i="20"/>
  <c r="C36" i="20"/>
  <c r="C31" i="20"/>
  <c r="C27" i="20"/>
  <c r="C28" i="20"/>
  <c r="C21" i="20"/>
  <c r="C17" i="20"/>
  <c r="C24" i="20"/>
  <c r="C33" i="20"/>
  <c r="C32" i="20"/>
  <c r="C23" i="20"/>
  <c r="C20" i="20"/>
  <c r="C29" i="20"/>
  <c r="O35" i="20"/>
  <c r="C19" i="20"/>
  <c r="J8" i="5"/>
  <c r="K8" i="5" s="1"/>
  <c r="V35" i="20"/>
  <c r="U35" i="20"/>
  <c r="I33" i="20" l="1"/>
  <c r="I34" i="20"/>
  <c r="O34" i="20" s="1"/>
  <c r="I36" i="20"/>
  <c r="O36" i="20" s="1"/>
  <c r="AA35" i="20"/>
  <c r="AG35" i="20" s="1"/>
  <c r="V13" i="20"/>
  <c r="V15" i="20"/>
  <c r="U13" i="20"/>
  <c r="U15" i="20"/>
  <c r="CH24" i="20"/>
  <c r="CH23" i="20"/>
  <c r="CH26" i="20"/>
  <c r="CH30" i="20"/>
  <c r="CH32" i="20"/>
  <c r="CH19" i="20"/>
  <c r="V36" i="20" l="1"/>
  <c r="V27" i="20"/>
  <c r="V19" i="20"/>
  <c r="V31" i="20"/>
  <c r="V30" i="20"/>
  <c r="V29" i="20"/>
  <c r="V17" i="20"/>
  <c r="V34" i="20"/>
  <c r="V26" i="20"/>
  <c r="V18" i="20"/>
  <c r="V32" i="20"/>
  <c r="V24" i="20"/>
  <c r="V23" i="20"/>
  <c r="V22" i="20"/>
  <c r="V21" i="20"/>
  <c r="V20" i="20"/>
  <c r="V33" i="20"/>
  <c r="V25" i="20"/>
  <c r="V28" i="20"/>
  <c r="U36" i="20"/>
  <c r="U31" i="20"/>
  <c r="U29" i="20"/>
  <c r="U25" i="20"/>
  <c r="U21" i="20"/>
  <c r="U17" i="20"/>
  <c r="U28" i="20"/>
  <c r="U24" i="20"/>
  <c r="U20" i="20"/>
  <c r="U27" i="20"/>
  <c r="U26" i="20"/>
  <c r="U22" i="20"/>
  <c r="U18" i="20"/>
  <c r="U32" i="20"/>
  <c r="U23" i="20"/>
  <c r="U33" i="20"/>
  <c r="U19" i="20"/>
  <c r="U30" i="20"/>
  <c r="U34" i="20"/>
  <c r="CN23" i="20"/>
  <c r="CN24" i="20"/>
  <c r="CN30" i="20"/>
  <c r="CN19" i="20"/>
  <c r="CN32" i="20"/>
  <c r="CN26" i="20"/>
  <c r="CH27" i="20"/>
  <c r="CH28" i="20"/>
  <c r="CH29" i="20"/>
  <c r="CH20" i="20"/>
  <c r="CH18" i="20"/>
  <c r="CH31" i="20"/>
  <c r="CH22" i="20"/>
  <c r="CH25" i="20"/>
  <c r="CH21" i="20"/>
  <c r="AA32" i="20" l="1"/>
  <c r="AA36" i="20"/>
  <c r="AA17" i="20"/>
  <c r="AG17" i="20" s="1"/>
  <c r="CH37" i="20"/>
  <c r="CN31" i="20"/>
  <c r="CN20" i="20"/>
  <c r="CN29" i="20"/>
  <c r="CN16" i="20"/>
  <c r="CN21" i="20"/>
  <c r="CN17" i="20"/>
  <c r="CN27" i="20"/>
  <c r="CN28" i="20"/>
  <c r="CN22" i="20"/>
  <c r="CN25" i="20"/>
  <c r="CN18" i="20"/>
  <c r="AA20" i="20"/>
  <c r="AA28" i="20"/>
  <c r="AA22" i="20"/>
  <c r="AA34" i="20"/>
  <c r="AA19" i="20"/>
  <c r="AA29" i="20"/>
  <c r="AA33" i="20"/>
  <c r="AA23" i="20"/>
  <c r="AA25" i="20"/>
  <c r="AA21" i="20"/>
  <c r="AA31" i="20"/>
  <c r="AA27" i="20"/>
  <c r="AA30" i="20"/>
  <c r="AA18" i="20"/>
  <c r="AA26" i="20"/>
  <c r="AA24" i="20"/>
  <c r="AG32" i="20" l="1"/>
  <c r="AG36" i="20"/>
  <c r="AA37" i="20"/>
  <c r="CN37" i="20"/>
  <c r="AG33" i="20"/>
  <c r="AG34" i="20"/>
  <c r="AG21" i="20"/>
  <c r="AG28" i="20"/>
  <c r="AG19" i="20"/>
  <c r="AG31" i="20"/>
  <c r="AG22" i="20"/>
  <c r="AG25" i="20"/>
  <c r="AG23" i="20"/>
  <c r="AG26" i="20"/>
  <c r="AG30" i="20"/>
  <c r="AG27" i="20"/>
  <c r="AG20" i="20"/>
  <c r="AG24" i="20"/>
  <c r="AG18" i="20"/>
  <c r="AG29" i="20"/>
  <c r="B9" i="22" l="1"/>
  <c r="B36" i="22" s="1"/>
  <c r="AG37" i="20"/>
  <c r="B7" i="22" l="1"/>
  <c r="B45" i="22"/>
  <c r="O33" i="20"/>
  <c r="I30" i="20"/>
  <c r="O30" i="20" s="1"/>
  <c r="I31" i="20"/>
  <c r="I21" i="20"/>
  <c r="I27" i="20"/>
  <c r="I28" i="20"/>
  <c r="I17" i="20"/>
  <c r="I18" i="20"/>
  <c r="I23" i="20"/>
  <c r="I25" i="20"/>
  <c r="O25" i="20" s="1"/>
  <c r="I20" i="20"/>
  <c r="I19" i="20"/>
  <c r="I24" i="20"/>
  <c r="O24" i="20" s="1"/>
  <c r="I32" i="20"/>
  <c r="O32" i="20" s="1"/>
  <c r="I26" i="20"/>
  <c r="I22" i="20"/>
  <c r="I29" i="20"/>
  <c r="O29" i="20" s="1"/>
  <c r="B34" i="22" l="1"/>
  <c r="I37" i="20"/>
  <c r="O22" i="20"/>
  <c r="O23" i="20"/>
  <c r="O21" i="20"/>
  <c r="O20" i="20"/>
  <c r="O18" i="20"/>
  <c r="O27" i="20"/>
  <c r="O17" i="20"/>
  <c r="O31" i="20"/>
  <c r="O26" i="20"/>
  <c r="O19" i="20"/>
  <c r="O28" i="20"/>
  <c r="O37" i="20" l="1"/>
  <c r="B11" i="22" s="1"/>
  <c r="B38" i="22" l="1"/>
  <c r="AS35" i="20" l="1"/>
  <c r="AY35" i="20" s="1"/>
  <c r="N7" i="21" l="1"/>
  <c r="P7" i="21"/>
  <c r="AS17" i="20"/>
  <c r="AS31" i="20"/>
  <c r="AS21" i="20"/>
  <c r="AS27" i="20" l="1"/>
  <c r="AY27" i="20" s="1"/>
  <c r="AS28" i="20"/>
  <c r="AY28" i="20" s="1"/>
  <c r="AS19" i="20"/>
  <c r="AY19" i="20" s="1"/>
  <c r="AS34" i="20"/>
  <c r="AY34" i="20" s="1"/>
  <c r="AS33" i="20"/>
  <c r="AS36" i="20"/>
  <c r="AS25" i="20"/>
  <c r="AS32" i="20"/>
  <c r="AS30" i="20"/>
  <c r="AY30" i="20" s="1"/>
  <c r="AS24" i="20"/>
  <c r="AS29" i="20"/>
  <c r="AY29" i="20" s="1"/>
  <c r="AS26" i="20"/>
  <c r="AY26" i="20" s="1"/>
  <c r="AS22" i="20"/>
  <c r="AS18" i="20"/>
  <c r="AY18" i="20" s="1"/>
  <c r="AS20" i="20"/>
  <c r="AS23" i="20"/>
  <c r="AY23" i="20" s="1"/>
  <c r="AY21" i="20"/>
  <c r="AY31" i="20"/>
  <c r="AY17" i="20"/>
  <c r="AY33" i="20" l="1"/>
  <c r="AY36" i="20"/>
  <c r="AY32" i="20"/>
  <c r="AY25" i="20"/>
  <c r="AY24" i="20"/>
  <c r="AY22" i="20"/>
  <c r="AY20" i="20"/>
  <c r="AS37" i="20"/>
  <c r="AY37" i="20" l="1"/>
  <c r="B8" i="22" l="1"/>
  <c r="B13" i="22" l="1"/>
  <c r="B28" i="22" s="1"/>
  <c r="B35" i="22"/>
  <c r="B40" i="22" l="1"/>
  <c r="B47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2016 Estimate Year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5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Controls rest of 7% cells in this tab</t>
        </r>
      </text>
    </comment>
  </commentList>
</comments>
</file>

<file path=xl/sharedStrings.xml><?xml version="1.0" encoding="utf-8"?>
<sst xmlns="http://schemas.openxmlformats.org/spreadsheetml/2006/main" count="770" uniqueCount="313">
  <si>
    <t>KABCO Level</t>
  </si>
  <si>
    <t>O</t>
  </si>
  <si>
    <t>C</t>
  </si>
  <si>
    <t>B</t>
  </si>
  <si>
    <t>A</t>
  </si>
  <si>
    <t>No Injury</t>
  </si>
  <si>
    <t>Possible Injury</t>
  </si>
  <si>
    <t>Incapacitating</t>
  </si>
  <si>
    <t>Non-Incapacitating</t>
  </si>
  <si>
    <t>Killed</t>
  </si>
  <si>
    <t>K</t>
  </si>
  <si>
    <t>Value</t>
  </si>
  <si>
    <t>Sources</t>
  </si>
  <si>
    <t>Notes: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</si>
  <si>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Areas along the project corridor considered to be outside the influence of downstream intersections</t>
    </r>
  </si>
  <si>
    <t>Total</t>
  </si>
  <si>
    <t>Crash Severity</t>
  </si>
  <si>
    <t>Number of Crashes</t>
  </si>
  <si>
    <t>No Build Growth Rate</t>
  </si>
  <si>
    <t>NA</t>
  </si>
  <si>
    <t>State Average Crash Rate or CMF</t>
  </si>
  <si>
    <t>Volume</t>
  </si>
  <si>
    <t>N (Years)</t>
  </si>
  <si>
    <t>L (Miles)</t>
  </si>
  <si>
    <t>Crash Rate Formula Inputs</t>
  </si>
  <si>
    <t>Build Growth Rate</t>
  </si>
  <si>
    <t>Cost</t>
  </si>
  <si>
    <t>Project Year</t>
  </si>
  <si>
    <t>Calendar Year</t>
  </si>
  <si>
    <t>Veh-Hour</t>
  </si>
  <si>
    <t>Cars</t>
  </si>
  <si>
    <t>Trucks</t>
  </si>
  <si>
    <r>
      <t>Hourly Value</t>
    </r>
    <r>
      <rPr>
        <vertAlign val="superscript"/>
        <sz val="11"/>
        <color theme="1"/>
        <rFont val="Calibri"/>
        <family val="2"/>
        <scheme val="minor"/>
      </rPr>
      <t>1</t>
    </r>
  </si>
  <si>
    <t>Difference (Benefit)</t>
  </si>
  <si>
    <t>Vehicle Operating Costs</t>
  </si>
  <si>
    <t>No-Build</t>
  </si>
  <si>
    <t>Build</t>
  </si>
  <si>
    <t>Engineering</t>
  </si>
  <si>
    <t>Construction</t>
  </si>
  <si>
    <t>ROW</t>
  </si>
  <si>
    <t>Grading and Drainage</t>
  </si>
  <si>
    <t>Subbase/Base</t>
  </si>
  <si>
    <t>Surfacing</t>
  </si>
  <si>
    <t>Major Structures</t>
  </si>
  <si>
    <t>Other Costs</t>
  </si>
  <si>
    <t>Rounding Factor</t>
  </si>
  <si>
    <t>Service Life (Years)</t>
  </si>
  <si>
    <t>Analysis Period</t>
  </si>
  <si>
    <r>
      <t>Expected Life</t>
    </r>
    <r>
      <rPr>
        <vertAlign val="superscript"/>
        <sz val="11"/>
        <color theme="1"/>
        <rFont val="Calibri"/>
        <family val="2"/>
        <scheme val="minor"/>
      </rPr>
      <t>1</t>
    </r>
  </si>
  <si>
    <t>Sum</t>
  </si>
  <si>
    <t>U</t>
  </si>
  <si>
    <t>Severity</t>
  </si>
  <si>
    <t>Unit Value</t>
  </si>
  <si>
    <t>Year</t>
  </si>
  <si>
    <t>No Build</t>
  </si>
  <si>
    <t>MAIS 1 (Minor)</t>
  </si>
  <si>
    <t>MAIS 2 (Moderate)</t>
  </si>
  <si>
    <t>MAIS 3 (Serious)</t>
  </si>
  <si>
    <t>MAIS 4 (Severe)</t>
  </si>
  <si>
    <t>MAIS 5 (Critical)</t>
  </si>
  <si>
    <t>MAIS 6 (Not Survivable)</t>
  </si>
  <si>
    <t>Time Costs</t>
  </si>
  <si>
    <t>Right-of-Way</t>
  </si>
  <si>
    <t>Bridge</t>
  </si>
  <si>
    <t>Mass Grading and Drainage/Sewer</t>
  </si>
  <si>
    <t>Base</t>
  </si>
  <si>
    <t>Surface</t>
  </si>
  <si>
    <t>Signal System</t>
  </si>
  <si>
    <t>Component Service Life (Years)</t>
  </si>
  <si>
    <t>Build Year</t>
  </si>
  <si>
    <t>Discount Rate (Annual)</t>
  </si>
  <si>
    <t>Assumptions Used in this Benefit-Cost Analysis</t>
  </si>
  <si>
    <t>Benefit-Cost Analysis</t>
  </si>
  <si>
    <t>Annual Vehicle Operating Cost</t>
  </si>
  <si>
    <t>Travel Time Cost</t>
  </si>
  <si>
    <t>Travel Time Benefit</t>
  </si>
  <si>
    <t>Collision Cost</t>
  </si>
  <si>
    <t>Total Cost</t>
  </si>
  <si>
    <t>Item</t>
  </si>
  <si>
    <t>PV (7% Discount Rate)</t>
  </si>
  <si>
    <t>Vehicle Operating Benefit</t>
  </si>
  <si>
    <t>Collision Reduction Benefit</t>
  </si>
  <si>
    <t>Operation and Maintenance Benefit</t>
  </si>
  <si>
    <t>Emissions Benefit</t>
  </si>
  <si>
    <t>Grading and Drainage/Sewer</t>
  </si>
  <si>
    <t>PV Total Benefit</t>
  </si>
  <si>
    <t>PV Total Cost</t>
  </si>
  <si>
    <t>(PV Total Cost - Salvage Value)</t>
  </si>
  <si>
    <t>Benefit-Cost Ratio</t>
  </si>
  <si>
    <t>Number of Collisions</t>
  </si>
  <si>
    <t>2006-2015 Crash Totals</t>
  </si>
  <si>
    <t>Alternative</t>
  </si>
  <si>
    <t xml:space="preserve">Cars </t>
  </si>
  <si>
    <t>VMT</t>
  </si>
  <si>
    <t>VHT</t>
  </si>
  <si>
    <t>Type</t>
  </si>
  <si>
    <t>Total Crashes per Year</t>
  </si>
  <si>
    <t>Base Year</t>
  </si>
  <si>
    <t>Lighting/Signals</t>
  </si>
  <si>
    <t>PW of Construction Costs (Discounted at 7%)</t>
  </si>
  <si>
    <t>Description</t>
  </si>
  <si>
    <t>Property Damage Only</t>
  </si>
  <si>
    <t>PV Salvage Value</t>
  </si>
  <si>
    <r>
      <t>Value Per Mile</t>
    </r>
    <r>
      <rPr>
        <vertAlign val="superscript"/>
        <sz val="11"/>
        <color theme="1"/>
        <rFont val="Calibri"/>
        <family val="2"/>
        <scheme val="minor"/>
      </rPr>
      <t>1</t>
    </r>
  </si>
  <si>
    <t>Activity</t>
  </si>
  <si>
    <t>Maintenance Costs</t>
  </si>
  <si>
    <t>No-Build Maintenance Costs</t>
  </si>
  <si>
    <t>Weekend</t>
  </si>
  <si>
    <t>Environmental Cost</t>
  </si>
  <si>
    <t>Weekday</t>
  </si>
  <si>
    <t>Travel Time Analysis</t>
  </si>
  <si>
    <t>Vehicle Operating Analysis</t>
  </si>
  <si>
    <t>Environmental Analysis</t>
  </si>
  <si>
    <t>Vehicle Miles Traveled</t>
  </si>
  <si>
    <t>Maintenance Activity</t>
  </si>
  <si>
    <t>Inflated Cost</t>
  </si>
  <si>
    <t>No-Build Maintenance Schedule</t>
  </si>
  <si>
    <t>Routine Pavement Management Cost: No-Build</t>
  </si>
  <si>
    <t>Summary of Expected Collisions</t>
  </si>
  <si>
    <t>Vehicle-Miles Traveled and Vehicle-Hours Traveled Summary</t>
  </si>
  <si>
    <t>Inflated Total Costs by Year</t>
  </si>
  <si>
    <t>Inflation Rate</t>
  </si>
  <si>
    <t>Discount Rate</t>
  </si>
  <si>
    <t>PV (3% Discount Rate)</t>
  </si>
  <si>
    <t>Undiscounted Travel Time Benefit</t>
  </si>
  <si>
    <t>Undiscounted Collision Benefit</t>
  </si>
  <si>
    <t>Undiscounted Environmental Benefit</t>
  </si>
  <si>
    <t>Undiscounted Maintenance Benefit</t>
  </si>
  <si>
    <t>Undiscounted Design/Construction Cost</t>
  </si>
  <si>
    <t>Alternative 1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</si>
  <si>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Crash rates were not adjusted due to lack of reliable CMFs applicable to interchange-related roundabouts and due to relatively low crashes when compared to project as a whole</t>
    </r>
  </si>
  <si>
    <t>No-Build (2015) Crashes by Project Area (2015)</t>
  </si>
  <si>
    <t>Build (2015) Crashes by Project Area</t>
  </si>
  <si>
    <t>Crash Summary</t>
  </si>
  <si>
    <t>Undiscounted Operating Benefit</t>
  </si>
  <si>
    <t>Vehicle Operating Benefits</t>
  </si>
  <si>
    <t>Environmental Benefit</t>
  </si>
  <si>
    <t>Design and Constuction Cost</t>
  </si>
  <si>
    <t>Table A1</t>
  </si>
  <si>
    <t>Table A2</t>
  </si>
  <si>
    <t>Project Costs</t>
  </si>
  <si>
    <t>Project Salvage Values</t>
  </si>
  <si>
    <t>Total Salvage Value</t>
  </si>
  <si>
    <t>Table A3</t>
  </si>
  <si>
    <t>Emissions Costs</t>
  </si>
  <si>
    <t>Automobile (per person-hour)</t>
  </si>
  <si>
    <t>Heavy Vehicle (per person-hour)</t>
  </si>
  <si>
    <t>Automobile (per mile)</t>
  </si>
  <si>
    <t>Heavy Vehicle (per mile)</t>
  </si>
  <si>
    <t>Table A4</t>
  </si>
  <si>
    <t>Table A5</t>
  </si>
  <si>
    <t>Table A6</t>
  </si>
  <si>
    <t>Table A7</t>
  </si>
  <si>
    <t>Table A8</t>
  </si>
  <si>
    <t>Table A9</t>
  </si>
  <si>
    <t>Table A10</t>
  </si>
  <si>
    <t>Table A11</t>
  </si>
  <si>
    <t>Table A13</t>
  </si>
  <si>
    <t>PV Travel Time Benefit</t>
  </si>
  <si>
    <t>PV Operating Benefit</t>
  </si>
  <si>
    <t>PV Design/Construction Cost</t>
  </si>
  <si>
    <t>PV Collision Benefit</t>
  </si>
  <si>
    <t>PV Environmental Benefit</t>
  </si>
  <si>
    <t>PV Maintenance Benefit</t>
  </si>
  <si>
    <t>Table A14</t>
  </si>
  <si>
    <t>Table A15</t>
  </si>
  <si>
    <t>Estimate Year</t>
  </si>
  <si>
    <r>
      <t>Remaining Capital Value Factors (Yr 2045)</t>
    </r>
    <r>
      <rPr>
        <vertAlign val="superscript"/>
        <sz val="11"/>
        <color theme="1"/>
        <rFont val="Calibri"/>
        <family val="2"/>
        <scheme val="minor"/>
      </rPr>
      <t>1</t>
    </r>
  </si>
  <si>
    <t>2018 PV (7% Discount)</t>
  </si>
  <si>
    <r>
      <t>Injury Costs (2018 Dollars)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</si>
  <si>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 xml:space="preserve">Total </t>
  </si>
  <si>
    <t>2020 No Build</t>
  </si>
  <si>
    <t>2040 No Build</t>
  </si>
  <si>
    <t>2040 Build</t>
  </si>
  <si>
    <t>2020 Build</t>
  </si>
  <si>
    <t>CMF Values By Project Area</t>
  </si>
  <si>
    <t xml:space="preserve"> CMF</t>
  </si>
  <si>
    <t>CMF</t>
  </si>
  <si>
    <t>AADTs</t>
  </si>
  <si>
    <t xml:space="preserve">Weekend traffic is assumed to have 25 percent of the trucks as a normal weekday. 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</si>
  <si>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Weekend traffic is assumed to have 25 percent of the trucks as a normal weekday.</t>
    </r>
  </si>
  <si>
    <t>Broadway Avenue Reconstruction</t>
  </si>
  <si>
    <t>CONSTRUCTION CONTINGENCY</t>
  </si>
  <si>
    <t>TOTAL ESTIMATED CONSTRUCTION COSTS</t>
  </si>
  <si>
    <t>ENGINEERING, LEGAL &amp; ADMINISTRATION</t>
  </si>
  <si>
    <t>TOTAL ESTIMATE PROJECT COSTS</t>
  </si>
  <si>
    <t>Property Values Improvement</t>
  </si>
  <si>
    <t>Property Value Costs</t>
  </si>
  <si>
    <t>Undiscounted Property Value Benefit</t>
  </si>
  <si>
    <t>PV Property Value Benefit</t>
  </si>
  <si>
    <t>Property Value Benefit</t>
  </si>
  <si>
    <t>Property Value Increase</t>
  </si>
  <si>
    <t>2042 Salvage Values by Year of Expenditure</t>
  </si>
  <si>
    <t>Salvage Value (Yr 2042)</t>
  </si>
  <si>
    <t>Remaining Capital Value Factors (Yr 2042)</t>
  </si>
  <si>
    <r>
      <t>Automobile (per mile)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</si>
  <si>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Heavy Vehicle (per mile)</t>
    </r>
    <r>
      <rPr>
        <vertAlign val="superscript"/>
        <sz val="11"/>
        <color theme="1"/>
        <rFont val="Calibri"/>
        <family val="2"/>
        <scheme val="minor"/>
      </rPr>
      <t>2</t>
    </r>
  </si>
  <si>
    <t>2. MnDOT Benefit-Cost Analysis for Transporation Projects, 2018</t>
  </si>
  <si>
    <t>2022-2023</t>
  </si>
  <si>
    <t>2020 No-Build KABCO Crash Costs</t>
  </si>
  <si>
    <t>Total Crashes per year</t>
  </si>
  <si>
    <t xml:space="preserve">No Injury </t>
  </si>
  <si>
    <t>Non-incapacitating</t>
  </si>
  <si>
    <t>Injured (Severity Unknown)</t>
  </si>
  <si>
    <t>Accidents Reported (unknown if injured)</t>
  </si>
  <si>
    <r>
      <t>Recommended Monetized Values for crashes ($2018)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</si>
  <si>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sum</t>
  </si>
  <si>
    <t>total</t>
  </si>
  <si>
    <t>Crash Value</t>
  </si>
  <si>
    <t>2020 Build KABCO Crash Costs</t>
  </si>
  <si>
    <t>2040 Build KABCO Crash Costs</t>
  </si>
  <si>
    <t>2040 No-Build KABCO Crash Costs</t>
  </si>
  <si>
    <t>Anson St</t>
  </si>
  <si>
    <t>May St</t>
  </si>
  <si>
    <t>segment</t>
  </si>
  <si>
    <t>Segment</t>
  </si>
  <si>
    <t>No-Build 10-Year Crashes by Project Area (2008-2017)</t>
  </si>
  <si>
    <t>Nevada St</t>
  </si>
  <si>
    <t>Linn St</t>
  </si>
  <si>
    <t>Church St</t>
  </si>
  <si>
    <t>Main St</t>
  </si>
  <si>
    <t>State St</t>
  </si>
  <si>
    <t>Marion St</t>
  </si>
  <si>
    <t>Riverside St</t>
  </si>
  <si>
    <t>Edgewood St</t>
  </si>
  <si>
    <r>
      <t>1</t>
    </r>
    <r>
      <rPr>
        <sz val="11"/>
        <color theme="1"/>
        <rFont val="Calibri"/>
        <family val="2"/>
        <scheme val="minor"/>
      </rPr>
      <t>Benefit-Cost Analysis Guidance for Discretionary Grant Programs, U.S. DOT, Jan 2020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</si>
  <si>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These tables are based upon straight-line depreciation from the beginning of the year following construction to the end of 2043</t>
    </r>
  </si>
  <si>
    <t>20 Years (2024-2043)</t>
  </si>
  <si>
    <t>Average Vehicle Occupancy Rates</t>
  </si>
  <si>
    <t>Passenger Vehicles (Weekday Peak)</t>
  </si>
  <si>
    <t>Passenger Vehicles (Weekday Off-Peak)</t>
  </si>
  <si>
    <t>Passenger Vehicles (Weekend)</t>
  </si>
  <si>
    <t>Passenger Vehicles (All Travel)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</si>
  <si>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Benefit-Cost Analysis Guidance for Discretionary Grant Programs, U.S. DOT Jan 2020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</si>
  <si>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Car hourly rate based upon $16.60 value per person and an occupancy rate of 1.67 per vehicle. </t>
    </r>
  </si>
  <si>
    <t>CMFs</t>
  </si>
  <si>
    <t>segments</t>
  </si>
  <si>
    <t>used for all segments</t>
  </si>
  <si>
    <t>all</t>
  </si>
  <si>
    <t>injury</t>
  </si>
  <si>
    <t>Road Diet (4 lan to 3 lane) (from HSM)</t>
  </si>
  <si>
    <t>not used</t>
  </si>
  <si>
    <t>increase dist to roadside features (3.3 ft to 16.7 ft)</t>
  </si>
  <si>
    <t>Reduce Accesses (&gt;48/mi to 26-48/mi)</t>
  </si>
  <si>
    <t>Reduce Accesses (26-48/mi to 10-26/mi)</t>
  </si>
  <si>
    <t>Reduce Accesses (10-26/mi to &lt; 10/mi)</t>
  </si>
  <si>
    <t>intersections</t>
  </si>
  <si>
    <t>Provide a left turn on one approach</t>
  </si>
  <si>
    <t>Provide a left turn on two approaches</t>
  </si>
  <si>
    <t>stop</t>
  </si>
  <si>
    <t>signal</t>
  </si>
  <si>
    <t>Provide right turn lane on one apporach</t>
  </si>
  <si>
    <t xml:space="preserve">used for Church to Main, State to Marion, Marion to Riverside, </t>
  </si>
  <si>
    <t>Main to State, Riverside to Edgewood, Edgewood to City Limits</t>
  </si>
  <si>
    <t>used for May to Nevada</t>
  </si>
  <si>
    <t>used for Anson</t>
  </si>
  <si>
    <t>used for may, nevada, marion, Edgewood</t>
  </si>
  <si>
    <t>used for Linn, Church, Main, State</t>
  </si>
  <si>
    <t>remove unwarrented signal</t>
  </si>
  <si>
    <t>Mill and Overlay</t>
  </si>
  <si>
    <t>Pavement Scarification</t>
  </si>
  <si>
    <t>Intake, Top Only</t>
  </si>
  <si>
    <t>Manhole Adjustment</t>
  </si>
  <si>
    <t>Valve Box Extensions</t>
  </si>
  <si>
    <t>Overlay, 3-Inch HMA</t>
  </si>
  <si>
    <t>Patching</t>
  </si>
  <si>
    <t>Curb &amp; Gutter</t>
  </si>
  <si>
    <t>SY</t>
  </si>
  <si>
    <t>EA</t>
  </si>
  <si>
    <t>TON</t>
  </si>
  <si>
    <t>LF</t>
  </si>
  <si>
    <t>Loop Detectors</t>
  </si>
  <si>
    <t>Pavement Markings</t>
  </si>
  <si>
    <t>Pavement Symbols</t>
  </si>
  <si>
    <t>STA</t>
  </si>
  <si>
    <t>Storm Sewer</t>
  </si>
  <si>
    <t>Sidewalk ramps</t>
  </si>
  <si>
    <t>Removal of Sidewalk</t>
  </si>
  <si>
    <t>Sidewalk</t>
  </si>
  <si>
    <t>Detectable Warning</t>
  </si>
  <si>
    <t>SF</t>
  </si>
  <si>
    <t>Sitework</t>
  </si>
  <si>
    <t>Seeding</t>
  </si>
  <si>
    <t>Erosion Control</t>
  </si>
  <si>
    <t>Acre</t>
  </si>
  <si>
    <t>LS</t>
  </si>
  <si>
    <t>General Construciton Costs</t>
  </si>
  <si>
    <t>Construction Survey</t>
  </si>
  <si>
    <t>Traffic Control</t>
  </si>
  <si>
    <t>Mobilization</t>
  </si>
  <si>
    <t>ESTIMATED CONSTRUCTION COSTS</t>
  </si>
  <si>
    <t>Fatal</t>
  </si>
  <si>
    <t>suspected Major Injury</t>
  </si>
  <si>
    <t>Suspected Minor Injury</t>
  </si>
  <si>
    <t>Occupancy Rates in US</t>
  </si>
  <si>
    <t>Auto</t>
  </si>
  <si>
    <t>Truck</t>
  </si>
  <si>
    <t>Value of Travel Time Savings (per person-hour)</t>
  </si>
  <si>
    <t>BCA Recommended Values</t>
  </si>
  <si>
    <t>Operating Cost (per mile)</t>
  </si>
  <si>
    <t>Emissions Costs (per mile)</t>
  </si>
  <si>
    <t>Mill and Overlay, Storm Sewer Intake Repairs and Sidewalk Repairs (2023)</t>
  </si>
  <si>
    <t>Value Per Mile</t>
  </si>
  <si>
    <t>Mill and Overlay, Storm Sewer and Sidewalk Repairs</t>
  </si>
  <si>
    <t>Table A12</t>
  </si>
  <si>
    <t>Marshalltown Highway 14 Re-construction BCA Summary</t>
  </si>
  <si>
    <t>Marshalltown Highway 14 BCA Short Summary</t>
  </si>
  <si>
    <t>Residentail</t>
  </si>
  <si>
    <t>Major Mixed/Commercial</t>
  </si>
  <si>
    <t>Mixed</t>
  </si>
  <si>
    <t>Senior living</t>
  </si>
  <si>
    <t>hotel</t>
  </si>
  <si>
    <t>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</si>
</sst>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0.0000"/>
    <numFmt numFmtId="165" formatCode="0.00000"/>
    <numFmt numFmtId="166" formatCode="0.000"/>
    <numFmt numFmtId="167" formatCode="0.0"/>
    <numFmt numFmtId="168" formatCode="0.0%"/>
    <numFmt numFmtId="169" formatCode="&quot;$&quot;#,##0.00"/>
    <numFmt numFmtId="170" formatCode="_([$$-409]* #,##0.00_);_([$$-409]* \(#,##0.00\);_([$$-409]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SWISS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53">
      <alignment horizontal="center"/>
    </xf>
    <xf numFmtId="1" fontId="16" fillId="0" borderId="58">
      <alignment horizontal="center"/>
    </xf>
  </cellStyleXfs>
  <cellXfs count="470">
    <xf numFmtId="0" fontId="0" fillId="0" borderId="0" xfId="0"/>
    <xf numFmtId="44" fontId="0" fillId="0" borderId="1" xfId="1" applyFont="1" applyBorder="1"/>
    <xf numFmtId="44" fontId="0" fillId="0" borderId="0" xfId="0" applyNumberFormat="1"/>
    <xf numFmtId="0" fontId="2" fillId="0" borderId="0" xfId="0" applyFont="1"/>
    <xf numFmtId="0" fontId="0" fillId="0" borderId="8" xfId="0" applyBorder="1"/>
    <xf numFmtId="44" fontId="0" fillId="0" borderId="9" xfId="1" applyFont="1" applyBorder="1"/>
    <xf numFmtId="0" fontId="0" fillId="0" borderId="12" xfId="0" applyBorder="1"/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44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4" xfId="1" applyFont="1" applyBorder="1"/>
    <xf numFmtId="0" fontId="0" fillId="0" borderId="0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39" fontId="0" fillId="0" borderId="41" xfId="1" applyNumberFormat="1" applyFont="1" applyFill="1" applyBorder="1" applyAlignment="1">
      <alignment horizontal="center" vertical="center" wrapText="1"/>
    </xf>
    <xf numFmtId="39" fontId="0" fillId="0" borderId="42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Border="1"/>
    <xf numFmtId="44" fontId="0" fillId="0" borderId="0" xfId="1" applyFont="1" applyBorder="1"/>
    <xf numFmtId="0" fontId="0" fillId="4" borderId="8" xfId="0" applyFill="1" applyBorder="1"/>
    <xf numFmtId="0" fontId="0" fillId="4" borderId="1" xfId="0" applyFill="1" applyBorder="1"/>
    <xf numFmtId="44" fontId="0" fillId="4" borderId="9" xfId="1" applyFont="1" applyFill="1" applyBorder="1"/>
    <xf numFmtId="0" fontId="0" fillId="0" borderId="8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4" fontId="0" fillId="0" borderId="0" xfId="1" applyFont="1"/>
    <xf numFmtId="44" fontId="0" fillId="0" borderId="8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4" borderId="1" xfId="0" applyFill="1" applyBorder="1" applyAlignment="1">
      <alignment horizontal="right"/>
    </xf>
    <xf numFmtId="44" fontId="0" fillId="4" borderId="1" xfId="1" applyFont="1" applyFill="1" applyBorder="1"/>
    <xf numFmtId="10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4" fontId="0" fillId="0" borderId="1" xfId="1" applyFont="1" applyFill="1" applyBorder="1"/>
    <xf numFmtId="0" fontId="0" fillId="4" borderId="9" xfId="0" applyFill="1" applyBorder="1"/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0" borderId="12" xfId="1" applyFont="1" applyFill="1" applyBorder="1" applyAlignment="1">
      <alignment horizontal="center" vertical="center" wrapText="1"/>
    </xf>
    <xf numFmtId="44" fontId="0" fillId="0" borderId="13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4" fontId="0" fillId="0" borderId="9" xfId="0" applyNumberFormat="1" applyBorder="1"/>
    <xf numFmtId="44" fontId="0" fillId="0" borderId="14" xfId="0" applyNumberFormat="1" applyBorder="1"/>
    <xf numFmtId="0" fontId="0" fillId="0" borderId="2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1" xfId="0" applyBorder="1" applyAlignment="1">
      <alignment vertical="center"/>
    </xf>
    <xf numFmtId="44" fontId="0" fillId="0" borderId="9" xfId="1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44" fontId="0" fillId="0" borderId="7" xfId="1" applyFont="1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8" xfId="0" applyFont="1" applyBorder="1"/>
    <xf numFmtId="44" fontId="2" fillId="0" borderId="1" xfId="1" applyFont="1" applyBorder="1"/>
    <xf numFmtId="44" fontId="2" fillId="0" borderId="9" xfId="1" applyFont="1" applyBorder="1"/>
    <xf numFmtId="44" fontId="2" fillId="0" borderId="9" xfId="1" applyNumberFormat="1" applyFont="1" applyBorder="1"/>
    <xf numFmtId="0" fontId="2" fillId="3" borderId="12" xfId="0" applyFont="1" applyFill="1" applyBorder="1"/>
    <xf numFmtId="0" fontId="2" fillId="3" borderId="13" xfId="0" applyFont="1" applyFill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6" borderId="28" xfId="0" applyFill="1" applyBorder="1" applyAlignment="1">
      <alignment horizontal="right"/>
    </xf>
    <xf numFmtId="0" fontId="0" fillId="3" borderId="6" xfId="0" applyFill="1" applyBorder="1" applyAlignment="1">
      <alignment horizontal="center" vertical="center" wrapText="1"/>
    </xf>
    <xf numFmtId="44" fontId="0" fillId="0" borderId="13" xfId="0" applyNumberFormat="1" applyBorder="1" applyAlignment="1">
      <alignment horizontal="center" vertical="center"/>
    </xf>
    <xf numFmtId="39" fontId="0" fillId="0" borderId="8" xfId="1" applyNumberFormat="1" applyFont="1" applyFill="1" applyBorder="1" applyAlignment="1">
      <alignment horizontal="center" vertical="center" wrapText="1"/>
    </xf>
    <xf numFmtId="39" fontId="0" fillId="0" borderId="11" xfId="1" applyNumberFormat="1" applyFont="1" applyFill="1" applyBorder="1" applyAlignment="1">
      <alignment horizontal="center" vertical="center" wrapText="1"/>
    </xf>
    <xf numFmtId="39" fontId="0" fillId="0" borderId="12" xfId="1" applyNumberFormat="1" applyFont="1" applyFill="1" applyBorder="1" applyAlignment="1">
      <alignment horizontal="center" vertical="center" wrapText="1"/>
    </xf>
    <xf numFmtId="39" fontId="0" fillId="0" borderId="48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44" fontId="0" fillId="0" borderId="9" xfId="0" applyNumberFormat="1" applyFill="1" applyBorder="1"/>
    <xf numFmtId="44" fontId="2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44" fontId="0" fillId="0" borderId="9" xfId="1" applyFont="1" applyFill="1" applyBorder="1" applyAlignment="1">
      <alignment horizontal="center" vertical="center" wrapText="1"/>
    </xf>
    <xf numFmtId="44" fontId="0" fillId="6" borderId="26" xfId="0" applyNumberFormat="1" applyFill="1" applyBorder="1"/>
    <xf numFmtId="44" fontId="0" fillId="6" borderId="2" xfId="1" applyFont="1" applyFill="1" applyBorder="1"/>
    <xf numFmtId="44" fontId="0" fillId="6" borderId="11" xfId="0" applyNumberFormat="1" applyFill="1" applyBorder="1"/>
    <xf numFmtId="44" fontId="0" fillId="6" borderId="25" xfId="0" applyNumberFormat="1" applyFill="1" applyBorder="1"/>
    <xf numFmtId="44" fontId="0" fillId="6" borderId="24" xfId="0" applyNumberFormat="1" applyFill="1" applyBorder="1"/>
    <xf numFmtId="0" fontId="0" fillId="6" borderId="28" xfId="0" applyFill="1" applyBorder="1"/>
    <xf numFmtId="44" fontId="2" fillId="6" borderId="29" xfId="0" applyNumberFormat="1" applyFont="1" applyFill="1" applyBorder="1" applyAlignment="1">
      <alignment vertical="center"/>
    </xf>
    <xf numFmtId="44" fontId="2" fillId="6" borderId="2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2" fontId="0" fillId="0" borderId="9" xfId="0" applyNumberForma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4" fontId="0" fillId="6" borderId="28" xfId="0" applyNumberFormat="1" applyFill="1" applyBorder="1"/>
    <xf numFmtId="44" fontId="0" fillId="6" borderId="29" xfId="0" applyNumberFormat="1" applyFill="1" applyBorder="1"/>
    <xf numFmtId="44" fontId="0" fillId="0" borderId="14" xfId="0" applyNumberFormat="1" applyFill="1" applyBorder="1"/>
    <xf numFmtId="9" fontId="0" fillId="2" borderId="0" xfId="0" applyNumberFormat="1" applyFill="1"/>
    <xf numFmtId="44" fontId="0" fillId="6" borderId="0" xfId="0" applyNumberFormat="1" applyFill="1" applyBorder="1"/>
    <xf numFmtId="44" fontId="0" fillId="6" borderId="49" xfId="0" applyNumberFormat="1" applyFill="1" applyBorder="1"/>
    <xf numFmtId="44" fontId="0" fillId="6" borderId="50" xfId="0" applyNumberFormat="1" applyFill="1" applyBorder="1"/>
    <xf numFmtId="0" fontId="0" fillId="0" borderId="47" xfId="0" applyBorder="1" applyAlignment="1">
      <alignment horizontal="center" vertical="center"/>
    </xf>
    <xf numFmtId="44" fontId="0" fillId="0" borderId="36" xfId="1" applyFont="1" applyBorder="1" applyAlignment="1">
      <alignment horizontal="center" vertical="center"/>
    </xf>
    <xf numFmtId="44" fontId="0" fillId="0" borderId="47" xfId="1" applyFont="1" applyBorder="1" applyAlignment="1">
      <alignment horizontal="center" vertical="center"/>
    </xf>
    <xf numFmtId="44" fontId="0" fillId="6" borderId="21" xfId="0" applyNumberFormat="1" applyFill="1" applyBorder="1"/>
    <xf numFmtId="0" fontId="0" fillId="3" borderId="41" xfId="0" applyFill="1" applyBorder="1" applyAlignment="1">
      <alignment horizontal="center" vertical="center"/>
    </xf>
    <xf numFmtId="44" fontId="0" fillId="0" borderId="41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9" fontId="0" fillId="2" borderId="0" xfId="2" applyFont="1" applyFill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1" xfId="1" applyNumberFormat="1" applyFont="1" applyBorder="1"/>
    <xf numFmtId="44" fontId="2" fillId="0" borderId="1" xfId="1" applyNumberFormat="1" applyFont="1" applyBorder="1"/>
    <xf numFmtId="166" fontId="2" fillId="3" borderId="13" xfId="0" applyNumberFormat="1" applyFont="1" applyFill="1" applyBorder="1" applyAlignment="1">
      <alignment horizontal="center" vertical="center"/>
    </xf>
    <xf numFmtId="44" fontId="0" fillId="0" borderId="0" xfId="1" applyFont="1" applyBorder="1" applyAlignment="1">
      <alignment horizontal="center" vertical="center" wrapText="1"/>
    </xf>
    <xf numFmtId="44" fontId="0" fillId="0" borderId="14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44" fontId="8" fillId="0" borderId="8" xfId="1" applyFont="1" applyFill="1" applyBorder="1" applyAlignment="1">
      <alignment horizontal="center" vertical="center"/>
    </xf>
    <xf numFmtId="44" fontId="8" fillId="0" borderId="9" xfId="1" applyFont="1" applyFill="1" applyBorder="1" applyAlignment="1">
      <alignment horizontal="center" vertical="center"/>
    </xf>
    <xf numFmtId="0" fontId="0" fillId="6" borderId="49" xfId="0" applyFill="1" applyBorder="1" applyAlignment="1">
      <alignment horizontal="right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8" fontId="0" fillId="4" borderId="1" xfId="0" applyNumberFormat="1" applyFill="1" applyBorder="1"/>
    <xf numFmtId="0" fontId="9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/>
    </xf>
    <xf numFmtId="44" fontId="2" fillId="6" borderId="1" xfId="0" applyNumberFormat="1" applyFont="1" applyFill="1" applyBorder="1"/>
    <xf numFmtId="44" fontId="2" fillId="6" borderId="9" xfId="0" applyNumberFormat="1" applyFont="1" applyFill="1" applyBorder="1"/>
    <xf numFmtId="0" fontId="2" fillId="6" borderId="8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44" fontId="2" fillId="6" borderId="13" xfId="1" applyFont="1" applyFill="1" applyBorder="1"/>
    <xf numFmtId="44" fontId="2" fillId="6" borderId="14" xfId="0" applyNumberFormat="1" applyFont="1" applyFill="1" applyBorder="1"/>
    <xf numFmtId="2" fontId="0" fillId="0" borderId="0" xfId="0" applyNumberForma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44" fontId="0" fillId="0" borderId="1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39" fontId="0" fillId="0" borderId="1" xfId="1" applyNumberFormat="1" applyFont="1" applyFill="1" applyBorder="1" applyAlignment="1">
      <alignment horizontal="center" vertical="center" wrapText="1"/>
    </xf>
    <xf numFmtId="39" fontId="0" fillId="0" borderId="9" xfId="1" applyNumberFormat="1" applyFont="1" applyFill="1" applyBorder="1" applyAlignment="1">
      <alignment horizontal="center" vertical="center" wrapText="1"/>
    </xf>
    <xf numFmtId="39" fontId="0" fillId="0" borderId="13" xfId="1" applyNumberFormat="1" applyFont="1" applyFill="1" applyBorder="1" applyAlignment="1">
      <alignment horizontal="center" vertical="center" wrapText="1"/>
    </xf>
    <xf numFmtId="39" fontId="0" fillId="0" borderId="14" xfId="1" applyNumberFormat="1" applyFont="1" applyFill="1" applyBorder="1" applyAlignment="1">
      <alignment horizontal="center" vertical="center" wrapText="1"/>
    </xf>
    <xf numFmtId="44" fontId="0" fillId="6" borderId="2" xfId="0" applyNumberFormat="1" applyFill="1" applyBorder="1"/>
    <xf numFmtId="44" fontId="8" fillId="0" borderId="8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/>
    <xf numFmtId="1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/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/>
    <xf numFmtId="2" fontId="0" fillId="0" borderId="1" xfId="0" applyNumberFormat="1" applyBorder="1"/>
    <xf numFmtId="0" fontId="0" fillId="7" borderId="0" xfId="0" applyFill="1" applyBorder="1"/>
    <xf numFmtId="16" fontId="0" fillId="0" borderId="0" xfId="0" applyNumberFormat="1"/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169" fontId="13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1" fontId="0" fillId="0" borderId="0" xfId="0" applyNumberFormat="1" applyAlignment="1"/>
    <xf numFmtId="0" fontId="0" fillId="0" borderId="0" xfId="0" applyNumberFormat="1" applyFill="1" applyBorder="1" applyAlignment="1" applyProtection="1"/>
    <xf numFmtId="0" fontId="12" fillId="0" borderId="0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right"/>
    </xf>
    <xf numFmtId="169" fontId="14" fillId="0" borderId="0" xfId="0" applyNumberFormat="1" applyFont="1" applyFill="1" applyBorder="1" applyAlignment="1">
      <alignment horizontal="right"/>
    </xf>
    <xf numFmtId="9" fontId="0" fillId="0" borderId="0" xfId="2" applyFont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9" fontId="0" fillId="0" borderId="0" xfId="2" applyFont="1"/>
    <xf numFmtId="169" fontId="0" fillId="0" borderId="0" xfId="2" applyNumberFormat="1" applyFont="1" applyBorder="1" applyAlignment="1">
      <alignment horizontal="right"/>
    </xf>
    <xf numFmtId="169" fontId="0" fillId="0" borderId="0" xfId="2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/>
    </xf>
    <xf numFmtId="0" fontId="0" fillId="6" borderId="20" xfId="0" applyFill="1" applyBorder="1" applyAlignment="1">
      <alignment horizontal="right"/>
    </xf>
    <xf numFmtId="0" fontId="0" fillId="6" borderId="27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 wrapText="1"/>
    </xf>
    <xf numFmtId="170" fontId="0" fillId="0" borderId="1" xfId="1" applyNumberFormat="1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0" xfId="0" applyFont="1"/>
    <xf numFmtId="44" fontId="0" fillId="0" borderId="8" xfId="1" applyFont="1" applyFill="1" applyBorder="1" applyAlignment="1">
      <alignment horizontal="center" vertical="center"/>
    </xf>
    <xf numFmtId="44" fontId="0" fillId="0" borderId="9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 wrapText="1"/>
    </xf>
    <xf numFmtId="44" fontId="0" fillId="0" borderId="13" xfId="1" applyFont="1" applyFill="1" applyBorder="1"/>
    <xf numFmtId="44" fontId="0" fillId="0" borderId="8" xfId="1" applyFont="1" applyFill="1" applyBorder="1"/>
    <xf numFmtId="44" fontId="0" fillId="0" borderId="12" xfId="1" applyFont="1" applyFill="1" applyBorder="1"/>
    <xf numFmtId="44" fontId="0" fillId="0" borderId="22" xfId="1" applyFont="1" applyFill="1" applyBorder="1" applyAlignment="1">
      <alignment horizontal="center" vertical="center" wrapText="1"/>
    </xf>
    <xf numFmtId="44" fontId="0" fillId="0" borderId="35" xfId="1" applyFont="1" applyFill="1" applyBorder="1" applyAlignment="1">
      <alignment horizontal="center" vertical="center" wrapText="1"/>
    </xf>
    <xf numFmtId="44" fontId="0" fillId="0" borderId="3" xfId="1" applyFont="1" applyFill="1" applyBorder="1" applyAlignment="1">
      <alignment horizontal="center" vertical="center" wrapText="1"/>
    </xf>
    <xf numFmtId="44" fontId="0" fillId="0" borderId="11" xfId="1" applyFont="1" applyFill="1" applyBorder="1" applyAlignment="1">
      <alignment horizontal="center" vertical="center" wrapText="1"/>
    </xf>
    <xf numFmtId="44" fontId="0" fillId="0" borderId="3" xfId="1" applyFont="1" applyFill="1" applyBorder="1"/>
    <xf numFmtId="44" fontId="0" fillId="0" borderId="11" xfId="1" applyFont="1" applyFill="1" applyBorder="1"/>
    <xf numFmtId="44" fontId="0" fillId="0" borderId="23" xfId="1" applyFont="1" applyFill="1" applyBorder="1"/>
    <xf numFmtId="44" fontId="0" fillId="0" borderId="48" xfId="1" applyFont="1" applyFill="1" applyBorder="1"/>
    <xf numFmtId="3" fontId="0" fillId="0" borderId="1" xfId="0" applyNumberFormat="1" applyFill="1" applyBorder="1" applyAlignment="1">
      <alignment horizontal="center" vertical="center"/>
    </xf>
    <xf numFmtId="44" fontId="0" fillId="0" borderId="9" xfId="1" applyFont="1" applyFill="1" applyBorder="1"/>
    <xf numFmtId="0" fontId="0" fillId="0" borderId="0" xfId="0" applyNumberFormat="1" applyFill="1" applyAlignment="1" applyProtection="1">
      <protection locked="0"/>
    </xf>
    <xf numFmtId="0" fontId="0" fillId="0" borderId="60" xfId="0" applyNumberFormat="1" applyBorder="1" applyProtection="1">
      <protection locked="0"/>
    </xf>
    <xf numFmtId="0" fontId="13" fillId="0" borderId="60" xfId="0" applyFont="1" applyFill="1" applyBorder="1"/>
    <xf numFmtId="0" fontId="12" fillId="0" borderId="59" xfId="0" applyNumberFormat="1" applyFont="1" applyBorder="1" applyAlignment="1" applyProtection="1">
      <protection locked="0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63" xfId="0" applyNumberFormat="1" applyBorder="1"/>
    <xf numFmtId="0" fontId="0" fillId="0" borderId="64" xfId="0" applyBorder="1"/>
    <xf numFmtId="0" fontId="0" fillId="0" borderId="64" xfId="0" applyBorder="1" applyAlignment="1">
      <alignment horizontal="center" vertical="center"/>
    </xf>
    <xf numFmtId="44" fontId="0" fillId="0" borderId="65" xfId="0" applyNumberFormat="1" applyBorder="1"/>
    <xf numFmtId="3" fontId="0" fillId="0" borderId="1" xfId="0" applyNumberForma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0" fontId="13" fillId="0" borderId="60" xfId="0" applyFont="1" applyFill="1" applyBorder="1" applyAlignment="1">
      <alignment horizontal="right"/>
    </xf>
    <xf numFmtId="0" fontId="13" fillId="0" borderId="61" xfId="0" applyFont="1" applyFill="1" applyBorder="1" applyAlignment="1">
      <alignment horizontal="right"/>
    </xf>
    <xf numFmtId="0" fontId="0" fillId="0" borderId="62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protection locked="0"/>
    </xf>
    <xf numFmtId="0" fontId="0" fillId="0" borderId="66" xfId="0" applyNumberFormat="1" applyFill="1" applyBorder="1" applyAlignment="1" applyProtection="1">
      <alignment horizontal="center"/>
      <protection locked="0"/>
    </xf>
    <xf numFmtId="0" fontId="0" fillId="0" borderId="64" xfId="0" applyNumberFormat="1" applyFill="1" applyBorder="1" applyAlignment="1" applyProtection="1">
      <protection locked="0"/>
    </xf>
    <xf numFmtId="44" fontId="0" fillId="0" borderId="64" xfId="1" applyFont="1" applyBorder="1" applyAlignment="1">
      <alignment horizontal="center" vertical="center"/>
    </xf>
    <xf numFmtId="169" fontId="0" fillId="0" borderId="9" xfId="1" applyNumberFormat="1" applyFont="1" applyBorder="1"/>
    <xf numFmtId="3" fontId="0" fillId="0" borderId="13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4" fontId="0" fillId="4" borderId="1" xfId="1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" xfId="0" applyBorder="1"/>
    <xf numFmtId="0" fontId="0" fillId="0" borderId="13" xfId="0" applyBorder="1"/>
    <xf numFmtId="0" fontId="0" fillId="3" borderId="2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64" fontId="0" fillId="7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7" borderId="0" xfId="0" applyFill="1" applyAlignment="1">
      <alignment wrapText="1"/>
    </xf>
    <xf numFmtId="0" fontId="0" fillId="0" borderId="0" xfId="0" applyAlignment="1">
      <alignment vertical="top" wrapText="1"/>
    </xf>
    <xf numFmtId="44" fontId="2" fillId="6" borderId="9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0" borderId="0" xfId="0" applyAlignment="1">
      <alignment wrapText="1"/>
    </xf>
    <xf numFmtId="44" fontId="2" fillId="6" borderId="14" xfId="0" applyNumberFormat="1" applyFont="1" applyFill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 textRotation="90"/>
    </xf>
    <xf numFmtId="0" fontId="0" fillId="0" borderId="15" xfId="0" applyFill="1" applyBorder="1" applyAlignment="1">
      <alignment horizontal="center" vertical="center" textRotation="90"/>
    </xf>
    <xf numFmtId="0" fontId="0" fillId="0" borderId="19" xfId="0" applyFill="1" applyBorder="1" applyAlignment="1">
      <alignment horizontal="center" vertical="center" textRotation="90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6" borderId="20" xfId="0" applyFill="1" applyBorder="1" applyAlignment="1">
      <alignment horizontal="right"/>
    </xf>
    <xf numFmtId="0" fontId="0" fillId="6" borderId="27" xfId="0" applyFill="1" applyBorder="1" applyAlignment="1">
      <alignment horizontal="right"/>
    </xf>
    <xf numFmtId="0" fontId="0" fillId="6" borderId="29" xfId="0" applyFill="1" applyBorder="1" applyAlignment="1">
      <alignment horizontal="right"/>
    </xf>
    <xf numFmtId="0" fontId="0" fillId="3" borderId="22" xfId="0" applyFill="1" applyBorder="1" applyAlignment="1">
      <alignment horizontal="center" vertical="center"/>
    </xf>
  </cellXfs>
  <cellStyles count="5">
    <cellStyle name="BMI Normal" xfId="3" xr:uid="{69BCB657-E6F3-4FC9-9BB7-05D3BEDB4253}"/>
    <cellStyle name="Currency" xfId="1" builtinId="4"/>
    <cellStyle name="Normal" xfId="0" builtinId="0"/>
    <cellStyle name="Percent" xfId="2" builtinId="5"/>
    <cellStyle name="Quantity" xfId="4" xr:uid="{60EE48B6-124E-446D-BAC6-4EC9A0D09BB1}"/>
  </cellStyles>
  <dxfs count="0"/>
  <tableStyles count="0" defaultTableStyle="TableStyleMedium2" defaultPivotStyle="PivotStyleMedium9"/>
  <colors>
    <mruColors>
      <color rgb="FF828282"/>
      <color rgb="FF799C4B"/>
      <color rgb="FF0069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A1:C55"/>
  <sheetViews>
    <sheetView showGridLines="0" view="pageBreakPreview" zoomScale="60" zoomScaleNormal="85" workbookViewId="0">
      <selection activeCell="B34" sqref="B34"/>
    </sheetView>
  </sheetViews>
  <sheetFormatPr defaultRowHeight="15"/>
  <cols>
    <col min="1" max="1" width="54.85546875" customWidth="1"/>
    <col min="2" max="2" width="50.85546875" customWidth="1"/>
    <col min="3" max="3" width="33" customWidth="1"/>
  </cols>
  <sheetData>
    <row r="1" spans="1:3" ht="21">
      <c r="A1" s="355" t="s">
        <v>72</v>
      </c>
      <c r="B1" s="355"/>
    </row>
    <row r="2" spans="1:3">
      <c r="A2" s="356" t="s">
        <v>138</v>
      </c>
      <c r="B2" s="356"/>
    </row>
    <row r="3" spans="1:3">
      <c r="A3" s="357" t="s">
        <v>71</v>
      </c>
      <c r="B3" s="357"/>
    </row>
    <row r="5" spans="1:3" ht="17.25">
      <c r="A5" s="3" t="s">
        <v>169</v>
      </c>
    </row>
    <row r="6" spans="1:3">
      <c r="A6" s="57" t="s">
        <v>101</v>
      </c>
      <c r="B6" s="58">
        <v>4400</v>
      </c>
      <c r="C6" s="20"/>
    </row>
    <row r="7" spans="1:3">
      <c r="A7" s="57" t="s">
        <v>55</v>
      </c>
      <c r="B7" s="58">
        <v>28800</v>
      </c>
      <c r="C7" s="20"/>
    </row>
    <row r="8" spans="1:3">
      <c r="A8" s="57" t="s">
        <v>56</v>
      </c>
      <c r="B8" s="58">
        <v>451200</v>
      </c>
      <c r="C8" s="20"/>
    </row>
    <row r="9" spans="1:3">
      <c r="A9" s="57" t="s">
        <v>57</v>
      </c>
      <c r="B9" s="58">
        <v>1008000</v>
      </c>
      <c r="C9" s="20"/>
    </row>
    <row r="10" spans="1:3">
      <c r="A10" s="57" t="s">
        <v>58</v>
      </c>
      <c r="B10" s="58">
        <v>2553600</v>
      </c>
      <c r="C10" s="20"/>
    </row>
    <row r="11" spans="1:3">
      <c r="A11" s="57" t="s">
        <v>59</v>
      </c>
      <c r="B11" s="58">
        <v>5692800</v>
      </c>
      <c r="C11" s="20"/>
    </row>
    <row r="12" spans="1:3">
      <c r="A12" s="57" t="s">
        <v>60</v>
      </c>
      <c r="B12" s="58">
        <v>9600000</v>
      </c>
      <c r="C12" s="20"/>
    </row>
    <row r="13" spans="1:3">
      <c r="A13" s="11"/>
      <c r="B13" s="55"/>
      <c r="C13" s="49"/>
    </row>
    <row r="14" spans="1:3">
      <c r="A14" s="3" t="s">
        <v>61</v>
      </c>
    </row>
    <row r="15" spans="1:3">
      <c r="A15" s="57" t="s">
        <v>145</v>
      </c>
      <c r="B15" s="58">
        <v>16.600000000000001</v>
      </c>
    </row>
    <row r="16" spans="1:3">
      <c r="A16" s="57" t="s">
        <v>146</v>
      </c>
      <c r="B16" s="58">
        <v>29.5</v>
      </c>
    </row>
    <row r="18" spans="1:3">
      <c r="A18" s="3" t="s">
        <v>228</v>
      </c>
      <c r="C18" s="49"/>
    </row>
    <row r="19" spans="1:3">
      <c r="A19" s="57" t="s">
        <v>229</v>
      </c>
      <c r="B19" s="58">
        <v>1.48</v>
      </c>
      <c r="C19" s="49"/>
    </row>
    <row r="20" spans="1:3">
      <c r="A20" s="57" t="s">
        <v>230</v>
      </c>
      <c r="B20" s="58">
        <v>1.58</v>
      </c>
      <c r="C20" s="49"/>
    </row>
    <row r="21" spans="1:3">
      <c r="A21" s="57" t="s">
        <v>231</v>
      </c>
      <c r="B21" s="58">
        <v>2.02</v>
      </c>
      <c r="C21" s="49"/>
    </row>
    <row r="22" spans="1:3">
      <c r="A22" s="57" t="s">
        <v>232</v>
      </c>
      <c r="B22" s="58">
        <v>1.67</v>
      </c>
    </row>
    <row r="24" spans="1:3">
      <c r="A24" s="3" t="s">
        <v>34</v>
      </c>
    </row>
    <row r="25" spans="1:3">
      <c r="A25" s="57" t="s">
        <v>147</v>
      </c>
      <c r="B25" s="58">
        <v>0.41</v>
      </c>
    </row>
    <row r="26" spans="1:3">
      <c r="A26" s="57" t="s">
        <v>148</v>
      </c>
      <c r="B26" s="58">
        <v>0.96</v>
      </c>
    </row>
    <row r="27" spans="1:3">
      <c r="A27" s="11"/>
    </row>
    <row r="28" spans="1:3">
      <c r="A28" s="3" t="s">
        <v>144</v>
      </c>
    </row>
    <row r="29" spans="1:3" ht="17.25">
      <c r="A29" s="57" t="s">
        <v>195</v>
      </c>
      <c r="B29" s="58">
        <v>0.06</v>
      </c>
    </row>
    <row r="30" spans="1:3" ht="17.25">
      <c r="A30" s="57" t="s">
        <v>196</v>
      </c>
      <c r="B30" s="58">
        <v>0.22</v>
      </c>
    </row>
    <row r="31" spans="1:3">
      <c r="A31" s="11"/>
    </row>
    <row r="32" spans="1:3">
      <c r="A32" s="3" t="s">
        <v>117</v>
      </c>
    </row>
    <row r="33" spans="1:2">
      <c r="A33" s="57" t="s">
        <v>301</v>
      </c>
      <c r="B33" s="353">
        <v>2816423</v>
      </c>
    </row>
    <row r="35" spans="1:2">
      <c r="A35" s="3" t="s">
        <v>68</v>
      </c>
    </row>
    <row r="36" spans="1:2">
      <c r="A36" s="61" t="s">
        <v>37</v>
      </c>
      <c r="B36" s="60">
        <v>0</v>
      </c>
    </row>
    <row r="37" spans="1:2">
      <c r="A37" s="61" t="s">
        <v>62</v>
      </c>
      <c r="B37" s="60">
        <v>100</v>
      </c>
    </row>
    <row r="38" spans="1:2">
      <c r="A38" s="61" t="s">
        <v>63</v>
      </c>
      <c r="B38" s="60">
        <v>60</v>
      </c>
    </row>
    <row r="39" spans="1:2">
      <c r="A39" s="61" t="s">
        <v>64</v>
      </c>
      <c r="B39" s="60">
        <v>50</v>
      </c>
    </row>
    <row r="40" spans="1:2">
      <c r="A40" s="61" t="s">
        <v>65</v>
      </c>
      <c r="B40" s="60">
        <v>40</v>
      </c>
    </row>
    <row r="41" spans="1:2">
      <c r="A41" s="61" t="s">
        <v>66</v>
      </c>
      <c r="B41" s="60">
        <v>25</v>
      </c>
    </row>
    <row r="42" spans="1:2">
      <c r="A42" s="61" t="s">
        <v>67</v>
      </c>
      <c r="B42" s="60">
        <v>20</v>
      </c>
    </row>
    <row r="44" spans="1:2">
      <c r="A44" s="3" t="s">
        <v>47</v>
      </c>
    </row>
    <row r="45" spans="1:2">
      <c r="A45" s="61" t="s">
        <v>227</v>
      </c>
      <c r="B45" s="56"/>
    </row>
    <row r="47" spans="1:2">
      <c r="A47" s="3" t="s">
        <v>69</v>
      </c>
    </row>
    <row r="48" spans="1:2">
      <c r="A48" s="61" t="s">
        <v>198</v>
      </c>
    </row>
    <row r="50" spans="1:2">
      <c r="A50" s="3" t="s">
        <v>70</v>
      </c>
    </row>
    <row r="51" spans="1:2">
      <c r="A51" s="59" t="s">
        <v>129</v>
      </c>
      <c r="B51" s="174">
        <v>7.0000000000000007E-2</v>
      </c>
    </row>
    <row r="53" spans="1:2">
      <c r="A53" s="3" t="s">
        <v>12</v>
      </c>
    </row>
    <row r="54" spans="1:2" ht="17.25">
      <c r="A54" s="11" t="s">
        <v>233</v>
      </c>
    </row>
    <row r="55" spans="1:2">
      <c r="A55" t="s">
        <v>197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50"/>
    <pageSetUpPr fitToPage="1"/>
  </sheetPr>
  <dimension ref="A1:K25"/>
  <sheetViews>
    <sheetView showGridLines="0" zoomScale="60" zoomScaleNormal="60" workbookViewId="0">
      <selection sqref="A1:K15"/>
    </sheetView>
  </sheetViews>
  <sheetFormatPr defaultRowHeight="15"/>
  <cols>
    <col min="1" max="1" width="16" customWidth="1"/>
    <col min="2" max="3" width="12.28515625" style="87" customWidth="1"/>
    <col min="4" max="5" width="12.28515625" style="94" customWidth="1"/>
    <col min="6" max="7" width="12.28515625" style="87" customWidth="1"/>
    <col min="8" max="10" width="17.85546875" style="87" customWidth="1"/>
    <col min="11" max="11" width="19.5703125" bestFit="1" customWidth="1"/>
    <col min="13" max="13" width="13.5703125" customWidth="1"/>
    <col min="14" max="17" width="12.28515625" customWidth="1"/>
    <col min="18" max="20" width="17.85546875" customWidth="1"/>
    <col min="21" max="21" width="16.28515625" customWidth="1"/>
    <col min="22" max="22" width="22.42578125" customWidth="1"/>
    <col min="23" max="23" width="16.28515625" bestFit="1" customWidth="1"/>
    <col min="25" max="25" width="14.28515625" bestFit="1" customWidth="1"/>
  </cols>
  <sheetData>
    <row r="1" spans="1:11" ht="21">
      <c r="A1" s="355" t="s">
        <v>72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>
      <c r="A2" s="356" t="s">
        <v>153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1">
      <c r="A3" s="357" t="s">
        <v>112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>
      <c r="A4" s="3"/>
      <c r="B4" s="92"/>
      <c r="C4" s="92"/>
      <c r="F4" s="92"/>
      <c r="G4" s="92"/>
      <c r="H4" s="92"/>
      <c r="I4" s="92"/>
      <c r="J4" s="92"/>
    </row>
    <row r="5" spans="1:11" ht="18" customHeight="1">
      <c r="A5" s="405"/>
      <c r="B5" s="386" t="s">
        <v>113</v>
      </c>
      <c r="C5" s="386"/>
      <c r="D5" s="386"/>
      <c r="E5" s="386"/>
      <c r="F5" s="386" t="s">
        <v>302</v>
      </c>
      <c r="G5" s="386"/>
      <c r="H5" s="386" t="s">
        <v>26</v>
      </c>
      <c r="I5" s="386"/>
      <c r="J5" s="386"/>
      <c r="K5" s="412" t="s">
        <v>33</v>
      </c>
    </row>
    <row r="6" spans="1:11">
      <c r="A6" s="445"/>
      <c r="B6" s="387" t="s">
        <v>109</v>
      </c>
      <c r="C6" s="387"/>
      <c r="D6" s="387" t="s">
        <v>107</v>
      </c>
      <c r="E6" s="387"/>
      <c r="F6" s="387"/>
      <c r="G6" s="387"/>
      <c r="H6" s="387"/>
      <c r="I6" s="387"/>
      <c r="J6" s="387"/>
      <c r="K6" s="408"/>
    </row>
    <row r="7" spans="1:11">
      <c r="A7" s="445"/>
      <c r="B7" s="102" t="s">
        <v>30</v>
      </c>
      <c r="C7" s="102" t="s">
        <v>31</v>
      </c>
      <c r="D7" s="102" t="s">
        <v>30</v>
      </c>
      <c r="E7" s="102" t="s">
        <v>31</v>
      </c>
      <c r="F7" s="102" t="s">
        <v>30</v>
      </c>
      <c r="G7" s="102" t="s">
        <v>31</v>
      </c>
      <c r="H7" s="102" t="s">
        <v>30</v>
      </c>
      <c r="I7" s="102" t="s">
        <v>31</v>
      </c>
      <c r="J7" s="102" t="s">
        <v>15</v>
      </c>
      <c r="K7" s="408"/>
    </row>
    <row r="8" spans="1:11">
      <c r="A8" s="4" t="s">
        <v>171</v>
      </c>
      <c r="B8" s="324">
        <f>260*1.6*10100*(1-(0.187+0.062)/2)</f>
        <v>3678500.8</v>
      </c>
      <c r="C8" s="324">
        <f>260*1.6*10100*((0.187+0.062)/2)</f>
        <v>523099.2</v>
      </c>
      <c r="D8" s="324">
        <f>(10100)*(105)*1.6*(1-(0.187+0.062)/2)</f>
        <v>1485548.4</v>
      </c>
      <c r="E8" s="324">
        <f>(10100)*(105)*1.6*((0.187+0.062)/2)</f>
        <v>211251.6</v>
      </c>
      <c r="F8" s="17">
        <v>0.06</v>
      </c>
      <c r="G8" s="17">
        <v>0.22</v>
      </c>
      <c r="H8" s="17">
        <f>(B8+D8)*F8</f>
        <v>309842.95199999993</v>
      </c>
      <c r="I8" s="17">
        <f>(C8+E8)*G8</f>
        <v>161557.17600000001</v>
      </c>
      <c r="J8" s="12">
        <f>SUM(H8:I8)</f>
        <v>471400.12799999991</v>
      </c>
      <c r="K8" s="444">
        <f>J8-J9</f>
        <v>0</v>
      </c>
    </row>
    <row r="9" spans="1:11">
      <c r="A9" s="4" t="s">
        <v>174</v>
      </c>
      <c r="B9" s="324">
        <f>260*1.6*10100*(1-(0.187+0.062)/2)</f>
        <v>3678500.8</v>
      </c>
      <c r="C9" s="324">
        <f t="shared" ref="C9" si="0">260*1.6*10100*((0.187+0.062)/2)</f>
        <v>523099.2</v>
      </c>
      <c r="D9" s="324">
        <f t="shared" ref="D9" si="1">(10100)*(105)*1.6*(1-(0.187+0.062)/2)</f>
        <v>1485548.4</v>
      </c>
      <c r="E9" s="324">
        <f t="shared" ref="E9" si="2">(10100)*(105)*1.6*((0.187+0.062)/2)</f>
        <v>211251.6</v>
      </c>
      <c r="F9" s="17">
        <v>0.06</v>
      </c>
      <c r="G9" s="17">
        <v>0.22</v>
      </c>
      <c r="H9" s="17">
        <f t="shared" ref="H9:I11" si="3">(B9+D9)*F9</f>
        <v>309842.95199999993</v>
      </c>
      <c r="I9" s="17">
        <f t="shared" si="3"/>
        <v>161557.17600000001</v>
      </c>
      <c r="J9" s="12">
        <f t="shared" ref="J9" si="4">SUM(H9:I9)</f>
        <v>471400.12799999991</v>
      </c>
      <c r="K9" s="444"/>
    </row>
    <row r="10" spans="1:11">
      <c r="A10" s="4" t="s">
        <v>172</v>
      </c>
      <c r="B10" s="324">
        <f>260*1.6*11850*(1-(0.187+0.062)/2)</f>
        <v>4315864.8</v>
      </c>
      <c r="C10" s="324">
        <f>260*1.6*11850*((0.187+0.062)/2)</f>
        <v>613735.19999999995</v>
      </c>
      <c r="D10" s="324">
        <f>(11850)*(105)*1.6*(1-(0.187+0.062)/2)</f>
        <v>1742945.4</v>
      </c>
      <c r="E10" s="324">
        <f>(11850)*(105)*1.6*((0.187+0.062)/2)</f>
        <v>247854.6</v>
      </c>
      <c r="F10" s="17">
        <v>0.06</v>
      </c>
      <c r="G10" s="17">
        <v>0.22</v>
      </c>
      <c r="H10" s="17">
        <f t="shared" si="3"/>
        <v>363528.61199999996</v>
      </c>
      <c r="I10" s="17">
        <f t="shared" si="3"/>
        <v>189549.75599999999</v>
      </c>
      <c r="J10" s="12">
        <f>SUM(H10:I10)</f>
        <v>553078.36800000002</v>
      </c>
      <c r="K10" s="444">
        <f>J10-J11</f>
        <v>0</v>
      </c>
    </row>
    <row r="11" spans="1:11" ht="15.75" thickBot="1">
      <c r="A11" s="6" t="s">
        <v>173</v>
      </c>
      <c r="B11" s="349">
        <f>260*1.6*11850*(1-(0.187+0.062)/2)</f>
        <v>4315864.8</v>
      </c>
      <c r="C11" s="349">
        <f>260*1.6*11850*((0.187+0.062)/2)</f>
        <v>613735.19999999995</v>
      </c>
      <c r="D11" s="349">
        <f>(11850)*(105)*1.6*(1-(0.187+0.062)/2)</f>
        <v>1742945.4</v>
      </c>
      <c r="E11" s="349">
        <f>(11850)*(105)*1.6*((0.187+0.062)/2)</f>
        <v>247854.6</v>
      </c>
      <c r="F11" s="19">
        <v>0.06</v>
      </c>
      <c r="G11" s="19">
        <v>0.22</v>
      </c>
      <c r="H11" s="19">
        <f t="shared" si="3"/>
        <v>363528.61199999996</v>
      </c>
      <c r="I11" s="19">
        <f>(C11+E11)*G11</f>
        <v>189549.75599999999</v>
      </c>
      <c r="J11" s="114">
        <f t="shared" ref="J11" si="5">SUM(H11:I11)</f>
        <v>553078.36800000002</v>
      </c>
      <c r="K11" s="447"/>
    </row>
    <row r="14" spans="1:11">
      <c r="A14" s="3" t="s">
        <v>13</v>
      </c>
    </row>
    <row r="15" spans="1:11" ht="30.75" customHeight="1">
      <c r="A15" s="443" t="s">
        <v>179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43"/>
    </row>
    <row r="16" spans="1:11">
      <c r="A16" s="446"/>
      <c r="B16" s="446"/>
      <c r="C16" s="446"/>
      <c r="D16" s="446"/>
      <c r="E16" s="446"/>
      <c r="F16" s="446"/>
      <c r="G16" s="446"/>
      <c r="H16" s="446"/>
      <c r="I16" s="446"/>
      <c r="J16" s="446"/>
      <c r="K16" s="446"/>
    </row>
    <row r="17" spans="2:10">
      <c r="B17"/>
      <c r="C17"/>
      <c r="D17"/>
      <c r="E17"/>
      <c r="F17"/>
      <c r="G17"/>
      <c r="H17"/>
      <c r="I17"/>
      <c r="J17"/>
    </row>
    <row r="18" spans="2:10">
      <c r="B18"/>
      <c r="C18"/>
      <c r="D18"/>
      <c r="E18"/>
      <c r="F18"/>
      <c r="G18"/>
      <c r="H18"/>
      <c r="I18"/>
      <c r="J18"/>
    </row>
    <row r="19" spans="2:10">
      <c r="B19"/>
      <c r="C19"/>
      <c r="D19"/>
      <c r="E19"/>
      <c r="F19"/>
      <c r="G19"/>
      <c r="H19"/>
      <c r="I19"/>
      <c r="J19"/>
    </row>
    <row r="20" spans="2:10">
      <c r="B20"/>
      <c r="C20"/>
      <c r="D20"/>
      <c r="E20"/>
      <c r="F20"/>
      <c r="G20"/>
      <c r="H20"/>
      <c r="I20"/>
      <c r="J20"/>
    </row>
    <row r="21" spans="2:10">
      <c r="B21"/>
      <c r="C21"/>
      <c r="D21"/>
      <c r="E21"/>
      <c r="F21"/>
      <c r="G21"/>
      <c r="H21"/>
      <c r="I21"/>
      <c r="J21"/>
    </row>
    <row r="22" spans="2:10">
      <c r="B22"/>
      <c r="C22"/>
      <c r="D22"/>
      <c r="E22"/>
      <c r="F22"/>
      <c r="G22"/>
      <c r="H22"/>
      <c r="I22"/>
      <c r="J22"/>
    </row>
    <row r="23" spans="2:10">
      <c r="B23"/>
      <c r="C23"/>
      <c r="D23"/>
      <c r="E23"/>
      <c r="F23"/>
      <c r="G23"/>
      <c r="H23"/>
      <c r="I23"/>
      <c r="J23"/>
    </row>
    <row r="24" spans="2:10">
      <c r="B24"/>
      <c r="C24"/>
      <c r="D24"/>
      <c r="E24"/>
      <c r="F24"/>
      <c r="G24"/>
      <c r="H24"/>
      <c r="I24"/>
      <c r="J24"/>
    </row>
    <row r="25" spans="2:10">
      <c r="B25"/>
      <c r="C25"/>
      <c r="D25"/>
      <c r="E25"/>
      <c r="F25"/>
      <c r="G25"/>
      <c r="H25"/>
      <c r="I25"/>
      <c r="J25"/>
    </row>
  </sheetData>
  <mergeCells count="14">
    <mergeCell ref="A1:K1"/>
    <mergeCell ref="A2:K2"/>
    <mergeCell ref="A3:K3"/>
    <mergeCell ref="K10:K11"/>
    <mergeCell ref="K8:K9"/>
    <mergeCell ref="B6:C6"/>
    <mergeCell ref="A15:K15"/>
    <mergeCell ref="A16:K16"/>
    <mergeCell ref="A5:A7"/>
    <mergeCell ref="K5:K7"/>
    <mergeCell ref="B5:E5"/>
    <mergeCell ref="D6:E6"/>
    <mergeCell ref="H5:J6"/>
    <mergeCell ref="F5:G6"/>
  </mergeCells>
  <pageMargins left="0.7" right="0.7" top="0.75" bottom="0.75" header="0.3" footer="0.3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-0.249977111117893"/>
    <pageSetUpPr fitToPage="1"/>
  </sheetPr>
  <dimension ref="B1:AH27"/>
  <sheetViews>
    <sheetView showGridLines="0" zoomScaleNormal="100" workbookViewId="0">
      <selection activeCell="F4" sqref="F4:H7"/>
    </sheetView>
  </sheetViews>
  <sheetFormatPr defaultRowHeight="15"/>
  <cols>
    <col min="2" max="2" width="14.28515625" customWidth="1"/>
    <col min="3" max="3" width="27.42578125" customWidth="1"/>
    <col min="4" max="4" width="22.85546875" customWidth="1"/>
    <col min="6" max="8" width="16.7109375" customWidth="1"/>
    <col min="9" max="9" width="3.85546875" customWidth="1"/>
    <col min="10" max="10" width="4.5703125" customWidth="1"/>
    <col min="12" max="12" width="11" customWidth="1"/>
    <col min="13" max="14" width="13.42578125" customWidth="1"/>
    <col min="15" max="15" width="14.7109375" customWidth="1"/>
    <col min="16" max="16" width="13.42578125" customWidth="1"/>
    <col min="17" max="17" width="13.42578125" style="330" customWidth="1"/>
    <col min="18" max="19" width="25.7109375" style="330" customWidth="1"/>
    <col min="22" max="22" width="22" bestFit="1" customWidth="1"/>
    <col min="23" max="26" width="10.5703125" customWidth="1"/>
    <col min="28" max="28" width="32.5703125" customWidth="1"/>
    <col min="29" max="30" width="25.85546875" customWidth="1"/>
    <col min="32" max="32" width="32.5703125" customWidth="1"/>
    <col min="33" max="34" width="25.85546875" customWidth="1"/>
    <col min="36" max="37" width="28.42578125" customWidth="1"/>
  </cols>
  <sheetData>
    <row r="1" spans="2:34" ht="21">
      <c r="B1" t="s">
        <v>90</v>
      </c>
      <c r="J1" s="3" t="s">
        <v>119</v>
      </c>
      <c r="R1" s="3" t="s">
        <v>298</v>
      </c>
      <c r="AB1" s="355" t="s">
        <v>72</v>
      </c>
      <c r="AC1" s="355"/>
      <c r="AD1" s="355"/>
      <c r="AF1" s="355" t="s">
        <v>72</v>
      </c>
      <c r="AG1" s="355"/>
      <c r="AH1" s="355"/>
    </row>
    <row r="2" spans="2:34">
      <c r="B2" s="176" t="s">
        <v>0</v>
      </c>
      <c r="C2" s="177" t="s">
        <v>51</v>
      </c>
      <c r="D2" s="177" t="s">
        <v>89</v>
      </c>
      <c r="J2" s="119"/>
      <c r="K2" s="223" t="s">
        <v>53</v>
      </c>
      <c r="L2" s="223" t="s">
        <v>95</v>
      </c>
      <c r="M2" s="450" t="s">
        <v>54</v>
      </c>
      <c r="N2" s="451"/>
      <c r="O2" s="450" t="s">
        <v>36</v>
      </c>
      <c r="P2" s="451"/>
      <c r="Q2" s="351"/>
      <c r="R2" s="387" t="s">
        <v>294</v>
      </c>
      <c r="S2" s="387"/>
      <c r="U2" s="3" t="s">
        <v>118</v>
      </c>
      <c r="AB2" s="356" t="s">
        <v>139</v>
      </c>
      <c r="AC2" s="356"/>
      <c r="AD2" s="356"/>
      <c r="AE2" s="20"/>
      <c r="AF2" s="356" t="s">
        <v>143</v>
      </c>
      <c r="AG2" s="356"/>
      <c r="AH2" s="356"/>
    </row>
    <row r="3" spans="2:34" ht="15" customHeight="1">
      <c r="B3" s="29" t="s">
        <v>10</v>
      </c>
      <c r="C3" s="30" t="s">
        <v>9</v>
      </c>
      <c r="D3" s="188">
        <f>'Safety Analysis'!V4</f>
        <v>1</v>
      </c>
      <c r="F3" s="69" t="s">
        <v>178</v>
      </c>
      <c r="J3" s="456" t="s">
        <v>93</v>
      </c>
      <c r="K3" s="459">
        <v>2020</v>
      </c>
      <c r="L3" s="225" t="s">
        <v>30</v>
      </c>
      <c r="M3" s="224">
        <f>'Vehicle Operating Analysis'!B8+'Vehicle Operating Analysis'!D8</f>
        <v>5164049.1999999993</v>
      </c>
      <c r="N3" s="448">
        <f>SUM(M3:M4)</f>
        <v>5898399.9999999991</v>
      </c>
      <c r="O3" s="224">
        <f>'Vehicle Operating Analysis'!B9+'Vehicle Operating Analysis'!D9</f>
        <v>5164049.1999999993</v>
      </c>
      <c r="P3" s="448">
        <f>SUM(O3:O4)</f>
        <v>5898399.9999999991</v>
      </c>
      <c r="Q3" s="350"/>
      <c r="R3" s="224" t="s">
        <v>295</v>
      </c>
      <c r="S3" s="352">
        <v>1.67</v>
      </c>
      <c r="U3" s="452" t="s">
        <v>51</v>
      </c>
      <c r="V3" s="452" t="s">
        <v>100</v>
      </c>
      <c r="W3" s="450">
        <v>2020</v>
      </c>
      <c r="X3" s="451"/>
      <c r="Y3" s="454">
        <v>2040</v>
      </c>
      <c r="Z3" s="455"/>
      <c r="AB3" s="461" t="s">
        <v>140</v>
      </c>
      <c r="AC3" s="461"/>
      <c r="AD3" s="461"/>
      <c r="AE3" s="20"/>
      <c r="AF3" s="461" t="s">
        <v>141</v>
      </c>
      <c r="AG3" s="461"/>
      <c r="AH3" s="461"/>
    </row>
    <row r="4" spans="2:34" ht="15.75" thickBot="1">
      <c r="B4" s="29" t="s">
        <v>4</v>
      </c>
      <c r="C4" s="30" t="s">
        <v>7</v>
      </c>
      <c r="D4" s="188">
        <f>'Safety Analysis'!V5</f>
        <v>2</v>
      </c>
      <c r="F4" s="387" t="s">
        <v>91</v>
      </c>
      <c r="G4" s="454" t="s">
        <v>53</v>
      </c>
      <c r="H4" s="455"/>
      <c r="J4" s="457"/>
      <c r="K4" s="460"/>
      <c r="L4" s="225" t="s">
        <v>31</v>
      </c>
      <c r="M4" s="224">
        <f>'Vehicle Operating Analysis'!C8+'Vehicle Operating Analysis'!E8</f>
        <v>734350.8</v>
      </c>
      <c r="N4" s="449"/>
      <c r="O4" s="224">
        <f>'Vehicle Operating Analysis'!C9+'Vehicle Operating Analysis'!E9</f>
        <v>734350.8</v>
      </c>
      <c r="P4" s="449"/>
      <c r="Q4" s="350"/>
      <c r="R4" s="224" t="s">
        <v>296</v>
      </c>
      <c r="S4" s="352">
        <v>1</v>
      </c>
      <c r="U4" s="453"/>
      <c r="V4" s="453"/>
      <c r="W4" s="111" t="s">
        <v>35</v>
      </c>
      <c r="X4" s="255" t="s">
        <v>36</v>
      </c>
      <c r="Y4" s="255" t="s">
        <v>35</v>
      </c>
      <c r="Z4" s="255" t="s">
        <v>36</v>
      </c>
      <c r="AB4" s="3"/>
      <c r="AF4" s="3"/>
    </row>
    <row r="5" spans="2:34" ht="15" customHeight="1">
      <c r="B5" s="29" t="s">
        <v>3</v>
      </c>
      <c r="C5" s="30" t="s">
        <v>8</v>
      </c>
      <c r="D5" s="188">
        <f>'Safety Analysis'!V6</f>
        <v>23</v>
      </c>
      <c r="F5" s="387"/>
      <c r="G5" s="176">
        <v>2020</v>
      </c>
      <c r="H5" s="176">
        <v>2040</v>
      </c>
      <c r="J5" s="457"/>
      <c r="K5" s="459">
        <v>2040</v>
      </c>
      <c r="L5" s="225" t="s">
        <v>92</v>
      </c>
      <c r="M5" s="224">
        <f>'Vehicle Operating Analysis'!B10+'Vehicle Operating Analysis'!D10</f>
        <v>6058810.1999999993</v>
      </c>
      <c r="N5" s="448">
        <f>SUM(M5:M6)</f>
        <v>6920399.9999999991</v>
      </c>
      <c r="O5" s="224">
        <f>'Vehicle Operating Analysis'!B11+'Vehicle Operating Analysis'!D11</f>
        <v>6058810.1999999993</v>
      </c>
      <c r="P5" s="448">
        <f>SUM(O5:O6)</f>
        <v>6920399.9999999991</v>
      </c>
      <c r="Q5" s="350"/>
      <c r="R5" s="387" t="s">
        <v>297</v>
      </c>
      <c r="S5" s="387"/>
      <c r="U5" s="231" t="s">
        <v>10</v>
      </c>
      <c r="V5" s="47" t="s">
        <v>291</v>
      </c>
      <c r="W5" s="72">
        <v>0.1</v>
      </c>
      <c r="X5" s="72">
        <v>0.05</v>
      </c>
      <c r="Y5" s="72">
        <v>0.10303775093937646</v>
      </c>
      <c r="Z5" s="72">
        <v>5.1518875469688231E-2</v>
      </c>
      <c r="AB5" s="172" t="s">
        <v>78</v>
      </c>
      <c r="AC5" s="171" t="s">
        <v>35</v>
      </c>
      <c r="AD5" s="173" t="s">
        <v>36</v>
      </c>
      <c r="AF5" s="172" t="s">
        <v>78</v>
      </c>
      <c r="AG5" s="171" t="s">
        <v>35</v>
      </c>
      <c r="AH5" s="173" t="s">
        <v>36</v>
      </c>
    </row>
    <row r="6" spans="2:34">
      <c r="B6" s="29" t="s">
        <v>2</v>
      </c>
      <c r="C6" s="30" t="s">
        <v>6</v>
      </c>
      <c r="D6" s="188">
        <f>'Safety Analysis'!V7</f>
        <v>38</v>
      </c>
      <c r="F6" s="30" t="s">
        <v>35</v>
      </c>
      <c r="G6" s="324">
        <v>10100</v>
      </c>
      <c r="H6" s="324">
        <v>11850</v>
      </c>
      <c r="J6" s="458"/>
      <c r="K6" s="460"/>
      <c r="L6" s="225" t="s">
        <v>31</v>
      </c>
      <c r="M6" s="224">
        <f>'Vehicle Operating Analysis'!C10+'Vehicle Operating Analysis'!E10</f>
        <v>861589.79999999993</v>
      </c>
      <c r="N6" s="449"/>
      <c r="O6" s="224">
        <f>'Vehicle Operating Analysis'!C11+'Vehicle Operating Analysis'!E11</f>
        <v>861589.79999999993</v>
      </c>
      <c r="P6" s="449"/>
      <c r="Q6" s="350"/>
      <c r="R6" s="224" t="s">
        <v>295</v>
      </c>
      <c r="S6" s="333">
        <v>16.600000000000001</v>
      </c>
      <c r="U6" s="231" t="s">
        <v>4</v>
      </c>
      <c r="V6" s="47" t="s">
        <v>292</v>
      </c>
      <c r="W6" s="72">
        <v>0.2</v>
      </c>
      <c r="X6" s="72">
        <v>0.10300000000000001</v>
      </c>
      <c r="Y6" s="72">
        <v>0.20607550187875293</v>
      </c>
      <c r="Z6" s="72">
        <v>0.10612888346755776</v>
      </c>
      <c r="AB6" s="4" t="s">
        <v>42</v>
      </c>
      <c r="AC6" s="1">
        <v>0</v>
      </c>
      <c r="AD6" s="86">
        <f>'Design.Construction.Salvage'!R15</f>
        <v>3801519</v>
      </c>
      <c r="AF6" s="4" t="s">
        <v>42</v>
      </c>
      <c r="AG6" s="1">
        <v>0</v>
      </c>
      <c r="AH6" s="86">
        <f>SUM('Design.Construction.Salvage'!BC5:BC12)</f>
        <v>514600</v>
      </c>
    </row>
    <row r="7" spans="2:34" ht="15" customHeight="1">
      <c r="B7" s="29" t="s">
        <v>1</v>
      </c>
      <c r="C7" s="30" t="s">
        <v>5</v>
      </c>
      <c r="D7" s="188">
        <f>'Safety Analysis'!V8</f>
        <v>172</v>
      </c>
      <c r="F7" s="30" t="s">
        <v>36</v>
      </c>
      <c r="G7" s="324">
        <v>10100</v>
      </c>
      <c r="H7" s="324">
        <v>11850</v>
      </c>
      <c r="J7" s="456" t="s">
        <v>94</v>
      </c>
      <c r="K7" s="459">
        <v>2020</v>
      </c>
      <c r="L7" s="225" t="s">
        <v>30</v>
      </c>
      <c r="M7" s="224">
        <f>'Travel Time Analysis'!B8+'Travel Time Analysis'!D8</f>
        <v>192940.18637499999</v>
      </c>
      <c r="N7" s="448">
        <f>SUM(M7:M8)</f>
        <v>213817</v>
      </c>
      <c r="O7" s="224">
        <f>'Travel Time Analysis'!B9+'Travel Time Analysis'!D9</f>
        <v>202919.8511875</v>
      </c>
      <c r="P7" s="448">
        <f>SUM(O7:O8)</f>
        <v>224876.5</v>
      </c>
      <c r="Q7" s="350"/>
      <c r="R7" s="224" t="s">
        <v>296</v>
      </c>
      <c r="S7" s="333">
        <v>29.5</v>
      </c>
      <c r="U7" s="231" t="s">
        <v>3</v>
      </c>
      <c r="V7" s="47" t="s">
        <v>293</v>
      </c>
      <c r="W7" s="72">
        <v>2.2999999999999998</v>
      </c>
      <c r="X7" s="72">
        <v>1.5670000000000002</v>
      </c>
      <c r="Y7" s="72">
        <v>2.3698682716056583</v>
      </c>
      <c r="Z7" s="72">
        <v>1.6146015572200294</v>
      </c>
      <c r="AB7" s="4" t="s">
        <v>41</v>
      </c>
      <c r="AC7" s="1">
        <v>0</v>
      </c>
      <c r="AD7" s="86">
        <f>'Design.Construction.Salvage'!Q15</f>
        <v>93263</v>
      </c>
      <c r="AF7" s="4" t="s">
        <v>41</v>
      </c>
      <c r="AG7" s="1">
        <v>0</v>
      </c>
      <c r="AH7" s="86">
        <f>SUM('Design.Construction.Salvage'!BB5:BB12)</f>
        <v>42900</v>
      </c>
    </row>
    <row r="8" spans="2:34">
      <c r="C8" s="189" t="s">
        <v>15</v>
      </c>
      <c r="D8" s="190">
        <f>SUM(D3:D7)</f>
        <v>236</v>
      </c>
      <c r="J8" s="457"/>
      <c r="K8" s="460"/>
      <c r="L8" s="225" t="s">
        <v>31</v>
      </c>
      <c r="M8" s="224">
        <f>'Travel Time Analysis'!C8+'Travel Time Analysis'!E8</f>
        <v>20876.813625000003</v>
      </c>
      <c r="N8" s="449"/>
      <c r="O8" s="224">
        <f>'Travel Time Analysis'!C9+'Travel Time Analysis'!E9</f>
        <v>21956.6488125</v>
      </c>
      <c r="P8" s="449"/>
      <c r="Q8" s="350"/>
      <c r="R8" s="387" t="s">
        <v>299</v>
      </c>
      <c r="S8" s="387"/>
      <c r="U8" s="231" t="s">
        <v>2</v>
      </c>
      <c r="V8" s="47" t="s">
        <v>6</v>
      </c>
      <c r="W8" s="72">
        <v>3.8</v>
      </c>
      <c r="X8" s="72">
        <v>2.6790000000000003</v>
      </c>
      <c r="Y8" s="72">
        <v>3.9154345356963054</v>
      </c>
      <c r="Z8" s="72">
        <v>2.7603813476658958</v>
      </c>
      <c r="AB8" s="4" t="s">
        <v>84</v>
      </c>
      <c r="AC8" s="1">
        <v>0</v>
      </c>
      <c r="AD8" s="86">
        <f>'Design.Construction.Salvage'!P15</f>
        <v>135555</v>
      </c>
      <c r="AF8" s="4" t="s">
        <v>84</v>
      </c>
      <c r="AG8" s="1">
        <v>0</v>
      </c>
      <c r="AH8" s="86">
        <f>SUM('Design.Construction.Salvage'!BA5:BA12)</f>
        <v>77000</v>
      </c>
    </row>
    <row r="9" spans="2:34">
      <c r="J9" s="457"/>
      <c r="K9" s="459">
        <v>2040</v>
      </c>
      <c r="L9" s="225" t="s">
        <v>92</v>
      </c>
      <c r="M9" s="224">
        <f>'Travel Time Analysis'!B10+'Travel Time Analysis'!D10</f>
        <v>230273.35490625</v>
      </c>
      <c r="N9" s="448">
        <f>SUM(M9:M10)</f>
        <v>255189.75</v>
      </c>
      <c r="O9" s="224">
        <f>'Travel Time Analysis'!B11+'Travel Time Analysis'!D11</f>
        <v>245885.10778125</v>
      </c>
      <c r="P9" s="448">
        <f>SUM(O9:O10)</f>
        <v>272490.75</v>
      </c>
      <c r="Q9" s="350"/>
      <c r="R9" s="224" t="s">
        <v>295</v>
      </c>
      <c r="S9" s="333">
        <v>0.41</v>
      </c>
      <c r="U9" s="231" t="s">
        <v>1</v>
      </c>
      <c r="V9" s="47" t="s">
        <v>101</v>
      </c>
      <c r="W9" s="72">
        <v>17.199999999999996</v>
      </c>
      <c r="X9" s="72">
        <v>12.113</v>
      </c>
      <c r="Y9" s="72">
        <v>17.722493161572746</v>
      </c>
      <c r="Z9" s="72">
        <v>12.48096277128667</v>
      </c>
      <c r="AB9" s="4" t="s">
        <v>43</v>
      </c>
      <c r="AC9" s="1">
        <v>0</v>
      </c>
      <c r="AD9" s="86">
        <f>'Design.Construction.Salvage'!S15</f>
        <v>818156</v>
      </c>
      <c r="AF9" s="4" t="s">
        <v>43</v>
      </c>
      <c r="AG9" s="1">
        <v>0</v>
      </c>
      <c r="AH9" s="86">
        <f>SUM('Design.Construction.Salvage'!BD5:BD12)</f>
        <v>523400</v>
      </c>
    </row>
    <row r="10" spans="2:34">
      <c r="J10" s="458"/>
      <c r="K10" s="460"/>
      <c r="L10" s="225" t="s">
        <v>31</v>
      </c>
      <c r="M10" s="224">
        <f>'Travel Time Analysis'!C10+'Travel Time Analysis'!E10</f>
        <v>24916.395093749998</v>
      </c>
      <c r="N10" s="449"/>
      <c r="O10" s="224">
        <f>'Travel Time Analysis'!C11+'Travel Time Analysis'!E11</f>
        <v>26605.642218749999</v>
      </c>
      <c r="P10" s="449"/>
      <c r="Q10" s="350"/>
      <c r="R10" s="224" t="s">
        <v>296</v>
      </c>
      <c r="S10" s="333">
        <v>0.96</v>
      </c>
      <c r="U10" s="462" t="s">
        <v>49</v>
      </c>
      <c r="V10" s="462"/>
      <c r="W10" s="48">
        <f>SUM(W5:W9)</f>
        <v>23.599999999999994</v>
      </c>
      <c r="X10" s="48">
        <f>SUM(X5:X9)</f>
        <v>16.512</v>
      </c>
      <c r="Y10" s="48">
        <f>SUM(Y5:Y9)</f>
        <v>24.316909221692839</v>
      </c>
      <c r="Z10" s="48">
        <f>SUM(Z5:Z9)</f>
        <v>17.01359343510984</v>
      </c>
      <c r="AB10" s="4" t="s">
        <v>62</v>
      </c>
      <c r="AC10" s="1">
        <v>0</v>
      </c>
      <c r="AD10" s="86">
        <f>'Design.Construction.Salvage'!O15</f>
        <v>45000</v>
      </c>
      <c r="AF10" s="4" t="s">
        <v>62</v>
      </c>
      <c r="AG10" s="1">
        <v>0</v>
      </c>
      <c r="AH10" s="86">
        <f>SUM('Design.Construction.Salvage'!AZ5:AZ12)</f>
        <v>34700</v>
      </c>
    </row>
    <row r="11" spans="2:34">
      <c r="R11" s="387" t="s">
        <v>300</v>
      </c>
      <c r="S11" s="387"/>
      <c r="AB11" s="4" t="s">
        <v>37</v>
      </c>
      <c r="AC11" s="1">
        <v>0</v>
      </c>
      <c r="AD11" s="86">
        <f>'Design.Construction.Salvage'!N15</f>
        <v>1420596</v>
      </c>
      <c r="AF11" s="4" t="s">
        <v>37</v>
      </c>
      <c r="AG11" s="1">
        <v>0</v>
      </c>
      <c r="AH11" s="86">
        <f>SUM('Design.Construction.Salvage'!AY5:AY12)</f>
        <v>0</v>
      </c>
    </row>
    <row r="12" spans="2:34" ht="15" customHeight="1">
      <c r="R12" s="224" t="s">
        <v>295</v>
      </c>
      <c r="S12" s="65">
        <v>0.06</v>
      </c>
      <c r="AB12" s="4" t="s">
        <v>98</v>
      </c>
      <c r="AC12" s="1">
        <v>0</v>
      </c>
      <c r="AD12" s="86">
        <f>'Design.Construction.Salvage'!T15</f>
        <v>1471075</v>
      </c>
      <c r="AF12" s="4" t="s">
        <v>98</v>
      </c>
      <c r="AG12" s="1">
        <v>0</v>
      </c>
      <c r="AH12" s="86">
        <f>SUM('Design.Construction.Salvage'!BE5:BE12)</f>
        <v>0</v>
      </c>
    </row>
    <row r="13" spans="2:34">
      <c r="R13" s="224" t="s">
        <v>296</v>
      </c>
      <c r="S13" s="65">
        <v>0.22</v>
      </c>
      <c r="AB13" s="4" t="s">
        <v>44</v>
      </c>
      <c r="AC13" s="1">
        <v>0</v>
      </c>
      <c r="AD13" s="86">
        <f>'Design.Construction.Salvage'!U15</f>
        <v>877345</v>
      </c>
      <c r="AF13" s="4" t="s">
        <v>44</v>
      </c>
      <c r="AG13" s="1">
        <v>0</v>
      </c>
      <c r="AH13" s="86">
        <f>SUM('Design.Construction.Salvage'!BF5:BF12)</f>
        <v>0</v>
      </c>
    </row>
    <row r="14" spans="2:34">
      <c r="AB14" s="178" t="s">
        <v>77</v>
      </c>
      <c r="AC14" s="179">
        <f>SUM(AC6:AC13)</f>
        <v>0</v>
      </c>
      <c r="AD14" s="180">
        <f>SUM(AD6:AD13)</f>
        <v>8662509</v>
      </c>
      <c r="AF14" s="181" t="s">
        <v>142</v>
      </c>
      <c r="AG14" s="179">
        <f>SUM(AG6:AG13)</f>
        <v>0</v>
      </c>
      <c r="AH14" s="180">
        <f>SUM(AH6:AH13)</f>
        <v>1192600</v>
      </c>
    </row>
    <row r="15" spans="2:34" ht="15.75" thickBot="1">
      <c r="AB15" s="182" t="s">
        <v>79</v>
      </c>
      <c r="AC15" s="183">
        <v>0</v>
      </c>
      <c r="AD15" s="184">
        <f>'Design.Construction.Salvage'!AH16</f>
        <v>8536366.6864345782</v>
      </c>
      <c r="AF15" s="182" t="s">
        <v>79</v>
      </c>
      <c r="AG15" s="183">
        <v>0</v>
      </c>
      <c r="AH15" s="184">
        <f>'Design.Construction.Salvage'!BG16</f>
        <v>269185.52079292497</v>
      </c>
    </row>
    <row r="18" ht="25.5" customHeight="1"/>
    <row r="21" ht="25.5" customHeight="1"/>
    <row r="22" ht="15" customHeight="1"/>
    <row r="24" ht="25.5" customHeight="1"/>
    <row r="26" ht="15" customHeight="1"/>
    <row r="27" ht="25.5" customHeight="1"/>
  </sheetData>
  <mergeCells count="33">
    <mergeCell ref="R11:S11"/>
    <mergeCell ref="AB1:AD1"/>
    <mergeCell ref="AF1:AH1"/>
    <mergeCell ref="AB2:AD2"/>
    <mergeCell ref="AF2:AH2"/>
    <mergeCell ref="AB3:AD3"/>
    <mergeCell ref="AF3:AH3"/>
    <mergeCell ref="Y3:Z3"/>
    <mergeCell ref="U10:V10"/>
    <mergeCell ref="J7:J10"/>
    <mergeCell ref="K7:K8"/>
    <mergeCell ref="K9:K10"/>
    <mergeCell ref="N7:N8"/>
    <mergeCell ref="P7:P8"/>
    <mergeCell ref="N9:N10"/>
    <mergeCell ref="P9:P10"/>
    <mergeCell ref="W3:X3"/>
    <mergeCell ref="U3:U4"/>
    <mergeCell ref="V3:V4"/>
    <mergeCell ref="G4:H4"/>
    <mergeCell ref="F4:F5"/>
    <mergeCell ref="J3:J6"/>
    <mergeCell ref="K5:K6"/>
    <mergeCell ref="K3:K4"/>
    <mergeCell ref="N5:N6"/>
    <mergeCell ref="P5:P6"/>
    <mergeCell ref="R2:S2"/>
    <mergeCell ref="R5:S5"/>
    <mergeCell ref="R8:S8"/>
    <mergeCell ref="O2:P2"/>
    <mergeCell ref="M2:N2"/>
    <mergeCell ref="P3:P4"/>
    <mergeCell ref="N3:N4"/>
  </mergeCells>
  <pageMargins left="0.7" right="0.7" top="0.75" bottom="0.75" header="0.3" footer="0.3"/>
  <pageSetup scale="16" orientation="portrait" r:id="rId1"/>
  <ignoredErrors>
    <ignoredError sqref="O3:O7 O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7" tint="-0.499984740745262"/>
    <pageSetUpPr fitToPage="1"/>
  </sheetPr>
  <dimension ref="A1:DK75"/>
  <sheetViews>
    <sheetView showGridLines="0" topLeftCell="CJ1" zoomScale="85" zoomScaleNormal="85" workbookViewId="0">
      <selection activeCell="CR1" sqref="CR1:DK37"/>
    </sheetView>
  </sheetViews>
  <sheetFormatPr defaultRowHeight="15"/>
  <cols>
    <col min="1" max="1" width="10" style="8" customWidth="1"/>
    <col min="2" max="2" width="10" style="8" hidden="1" customWidth="1"/>
    <col min="3" max="4" width="19.5703125" style="8" customWidth="1"/>
    <col min="6" max="6" width="10" customWidth="1"/>
    <col min="7" max="7" width="10" hidden="1" customWidth="1"/>
    <col min="8" max="10" width="17.28515625" customWidth="1"/>
    <col min="11" max="11" width="10" customWidth="1"/>
    <col min="12" max="13" width="10" hidden="1" customWidth="1"/>
    <col min="14" max="15" width="17.28515625" customWidth="1"/>
    <col min="17" max="17" width="4.42578125" customWidth="1"/>
    <col min="19" max="19" width="10" customWidth="1"/>
    <col min="20" max="20" width="10" hidden="1" customWidth="1"/>
    <col min="21" max="22" width="17.28515625" customWidth="1"/>
    <col min="24" max="24" width="10" customWidth="1"/>
    <col min="25" max="25" width="10" hidden="1" customWidth="1"/>
    <col min="26" max="27" width="17.28515625" customWidth="1"/>
    <col min="29" max="29" width="10" customWidth="1"/>
    <col min="30" max="31" width="10" hidden="1" customWidth="1"/>
    <col min="32" max="33" width="17.28515625" customWidth="1"/>
    <col min="35" max="35" width="4.42578125" customWidth="1"/>
    <col min="37" max="38" width="10" customWidth="1"/>
    <col min="39" max="40" width="17.28515625" customWidth="1"/>
    <col min="42" max="42" width="10" customWidth="1"/>
    <col min="43" max="43" width="10" hidden="1" customWidth="1"/>
    <col min="44" max="45" width="17.28515625" customWidth="1"/>
    <col min="47" max="47" width="10" customWidth="1"/>
    <col min="48" max="49" width="10" hidden="1" customWidth="1"/>
    <col min="50" max="51" width="17.28515625" customWidth="1"/>
    <col min="53" max="53" width="4.42578125" customWidth="1"/>
    <col min="55" max="55" width="10" customWidth="1"/>
    <col min="56" max="56" width="10" hidden="1" customWidth="1"/>
    <col min="57" max="58" width="17.28515625" customWidth="1"/>
    <col min="60" max="60" width="10" customWidth="1"/>
    <col min="61" max="61" width="10" hidden="1" customWidth="1"/>
    <col min="62" max="63" width="17.28515625" customWidth="1"/>
    <col min="65" max="65" width="10" customWidth="1"/>
    <col min="66" max="67" width="10" hidden="1" customWidth="1"/>
    <col min="68" max="69" width="17.28515625" customWidth="1"/>
    <col min="71" max="71" width="4.42578125" customWidth="1"/>
    <col min="73" max="73" width="10" customWidth="1"/>
    <col min="74" max="74" width="10" hidden="1" customWidth="1"/>
    <col min="75" max="75" width="50.42578125" customWidth="1"/>
    <col min="76" max="76" width="17.28515625" customWidth="1"/>
    <col min="77" max="77" width="9.140625" customWidth="1"/>
    <col min="78" max="78" width="10" customWidth="1"/>
    <col min="79" max="79" width="10" hidden="1" customWidth="1"/>
    <col min="80" max="81" width="17.28515625" customWidth="1"/>
    <col min="83" max="83" width="10" customWidth="1"/>
    <col min="84" max="84" width="10" hidden="1" customWidth="1"/>
    <col min="85" max="86" width="17.28515625" customWidth="1"/>
    <col min="87" max="87" width="10.42578125" customWidth="1"/>
    <col min="88" max="88" width="10" customWidth="1"/>
    <col min="89" max="90" width="10" hidden="1" customWidth="1"/>
    <col min="91" max="92" width="17.28515625" customWidth="1"/>
    <col min="94" max="94" width="4.42578125" customWidth="1"/>
    <col min="96" max="96" width="10" customWidth="1"/>
    <col min="97" max="97" width="10" hidden="1" customWidth="1"/>
    <col min="98" max="98" width="50.42578125" customWidth="1"/>
    <col min="99" max="99" width="17.28515625" customWidth="1"/>
    <col min="101" max="101" width="10" customWidth="1"/>
    <col min="102" max="102" width="10" hidden="1" customWidth="1"/>
    <col min="103" max="104" width="17.28515625" customWidth="1"/>
    <col min="106" max="106" width="10" customWidth="1"/>
    <col min="107" max="107" width="10" hidden="1" customWidth="1"/>
    <col min="108" max="109" width="17.28515625" customWidth="1"/>
    <col min="110" max="110" width="10.42578125" customWidth="1"/>
    <col min="111" max="111" width="10" customWidth="1"/>
    <col min="112" max="113" width="10" hidden="1" customWidth="1"/>
    <col min="114" max="115" width="17.28515625" customWidth="1"/>
  </cols>
  <sheetData>
    <row r="1" spans="1:115" ht="21">
      <c r="A1" s="355" t="s">
        <v>72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S1" s="355" t="s">
        <v>72</v>
      </c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K1" s="355" t="s">
        <v>72</v>
      </c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BC1" s="355" t="s">
        <v>72</v>
      </c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355"/>
      <c r="BQ1" s="355"/>
      <c r="BU1" s="355" t="s">
        <v>72</v>
      </c>
      <c r="BV1" s="355"/>
      <c r="BW1" s="355"/>
      <c r="BX1" s="355"/>
      <c r="BY1" s="355"/>
      <c r="BZ1" s="355"/>
      <c r="CA1" s="355"/>
      <c r="CB1" s="355"/>
      <c r="CC1" s="355"/>
      <c r="CD1" s="355"/>
      <c r="CE1" s="355"/>
      <c r="CF1" s="355"/>
      <c r="CG1" s="355"/>
      <c r="CH1" s="355"/>
      <c r="CI1" s="355"/>
      <c r="CJ1" s="355"/>
      <c r="CK1" s="355"/>
      <c r="CL1" s="355"/>
      <c r="CM1" s="355"/>
      <c r="CN1" s="355"/>
      <c r="CR1" s="355" t="s">
        <v>72</v>
      </c>
      <c r="CS1" s="355"/>
      <c r="CT1" s="355"/>
      <c r="CU1" s="355"/>
      <c r="CV1" s="355"/>
      <c r="CW1" s="355"/>
      <c r="CX1" s="355"/>
      <c r="CY1" s="355"/>
      <c r="CZ1" s="355"/>
      <c r="DA1" s="355"/>
      <c r="DB1" s="355"/>
      <c r="DC1" s="355"/>
      <c r="DD1" s="355"/>
      <c r="DE1" s="355"/>
      <c r="DF1" s="355"/>
      <c r="DG1" s="355"/>
      <c r="DH1" s="355"/>
      <c r="DI1" s="355"/>
      <c r="DJ1" s="355"/>
      <c r="DK1" s="355"/>
    </row>
    <row r="2" spans="1:115">
      <c r="A2" s="356" t="s">
        <v>152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S2" s="356" t="s">
        <v>150</v>
      </c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K2" s="356" t="s">
        <v>304</v>
      </c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BC2" s="356" t="s">
        <v>154</v>
      </c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U2" s="356" t="s">
        <v>155</v>
      </c>
      <c r="BV2" s="356"/>
      <c r="BW2" s="356"/>
      <c r="BX2" s="356"/>
      <c r="BY2" s="356"/>
      <c r="BZ2" s="356"/>
      <c r="CA2" s="356"/>
      <c r="CB2" s="356"/>
      <c r="CC2" s="356"/>
      <c r="CD2" s="356"/>
      <c r="CE2" s="356"/>
      <c r="CF2" s="356"/>
      <c r="CG2" s="356"/>
      <c r="CH2" s="356"/>
      <c r="CI2" s="356"/>
      <c r="CJ2" s="356"/>
      <c r="CK2" s="356"/>
      <c r="CL2" s="356"/>
      <c r="CM2" s="356"/>
      <c r="CN2" s="356"/>
      <c r="CR2" s="356" t="s">
        <v>157</v>
      </c>
      <c r="CS2" s="356"/>
      <c r="CT2" s="356"/>
      <c r="CU2" s="356"/>
      <c r="CV2" s="356"/>
      <c r="CW2" s="356"/>
      <c r="CX2" s="356"/>
      <c r="CY2" s="356"/>
      <c r="CZ2" s="356"/>
      <c r="DA2" s="356"/>
      <c r="DB2" s="356"/>
      <c r="DC2" s="356"/>
      <c r="DD2" s="356"/>
      <c r="DE2" s="356"/>
      <c r="DF2" s="356"/>
      <c r="DG2" s="356"/>
      <c r="DH2" s="356"/>
      <c r="DI2" s="356"/>
      <c r="DJ2" s="356"/>
      <c r="DK2" s="356"/>
    </row>
    <row r="3" spans="1:115" ht="15.75" customHeight="1" thickBot="1">
      <c r="A3" s="357" t="s">
        <v>135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S3" s="357" t="s">
        <v>75</v>
      </c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K3" s="357" t="s">
        <v>81</v>
      </c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BC3" s="357" t="s">
        <v>136</v>
      </c>
      <c r="BD3" s="357"/>
      <c r="BE3" s="357"/>
      <c r="BF3" s="357"/>
      <c r="BG3" s="357"/>
      <c r="BH3" s="357"/>
      <c r="BI3" s="357"/>
      <c r="BJ3" s="357"/>
      <c r="BK3" s="357"/>
      <c r="BL3" s="357"/>
      <c r="BM3" s="357"/>
      <c r="BN3" s="357"/>
      <c r="BO3" s="357"/>
      <c r="BP3" s="357"/>
      <c r="BQ3" s="357"/>
      <c r="BU3" s="357" t="s">
        <v>82</v>
      </c>
      <c r="BV3" s="357"/>
      <c r="BW3" s="357"/>
      <c r="BX3" s="357"/>
      <c r="BY3" s="357"/>
      <c r="BZ3" s="357"/>
      <c r="CA3" s="357"/>
      <c r="CB3" s="357"/>
      <c r="CC3" s="357"/>
      <c r="CD3" s="357"/>
      <c r="CE3" s="357"/>
      <c r="CF3" s="357"/>
      <c r="CG3" s="357"/>
      <c r="CH3" s="357"/>
      <c r="CI3" s="357"/>
      <c r="CJ3" s="357"/>
      <c r="CK3" s="357"/>
      <c r="CL3" s="357"/>
      <c r="CM3" s="357"/>
      <c r="CN3" s="357"/>
      <c r="CR3" s="357" t="s">
        <v>191</v>
      </c>
      <c r="CS3" s="357"/>
      <c r="CT3" s="357"/>
      <c r="CU3" s="357"/>
      <c r="CV3" s="357"/>
      <c r="CW3" s="357"/>
      <c r="CX3" s="357"/>
      <c r="CY3" s="357"/>
      <c r="CZ3" s="357"/>
      <c r="DA3" s="357"/>
      <c r="DB3" s="357"/>
      <c r="DC3" s="357"/>
      <c r="DD3" s="357"/>
      <c r="DE3" s="357"/>
      <c r="DF3" s="357"/>
      <c r="DG3" s="357"/>
      <c r="DH3" s="357"/>
      <c r="DI3" s="357"/>
      <c r="DJ3" s="357"/>
      <c r="DK3" s="357"/>
    </row>
    <row r="4" spans="1:115" ht="15.75" thickBot="1">
      <c r="Q4" s="62"/>
      <c r="AI4" s="62"/>
      <c r="BA4" s="62"/>
      <c r="BS4" s="62"/>
      <c r="CP4" s="62"/>
    </row>
    <row r="5" spans="1:115" ht="34.5" customHeight="1" thickBot="1">
      <c r="C5" s="402" t="s">
        <v>73</v>
      </c>
      <c r="D5" s="417"/>
      <c r="F5" s="8"/>
      <c r="G5" s="8"/>
      <c r="H5" s="384" t="s">
        <v>134</v>
      </c>
      <c r="I5" s="388"/>
      <c r="K5" s="158">
        <f>'Design.Construction.Salvage'!Z20</f>
        <v>7.0000000000000007E-2</v>
      </c>
      <c r="L5" s="159"/>
      <c r="M5" s="16"/>
      <c r="N5" s="384" t="s">
        <v>159</v>
      </c>
      <c r="O5" s="388"/>
      <c r="Q5" s="63"/>
      <c r="S5" s="8"/>
      <c r="T5" s="8"/>
      <c r="U5" s="384" t="s">
        <v>74</v>
      </c>
      <c r="V5" s="388"/>
      <c r="X5" s="8"/>
      <c r="Y5" s="8"/>
      <c r="Z5" s="384" t="s">
        <v>124</v>
      </c>
      <c r="AA5" s="388"/>
      <c r="AC5" s="158">
        <f>$K$5</f>
        <v>7.0000000000000007E-2</v>
      </c>
      <c r="AD5" s="159"/>
      <c r="AE5" s="16"/>
      <c r="AF5" s="384" t="s">
        <v>158</v>
      </c>
      <c r="AG5" s="388"/>
      <c r="AI5" s="63"/>
      <c r="AK5" s="8"/>
      <c r="AL5" s="8"/>
      <c r="AM5" s="402" t="s">
        <v>76</v>
      </c>
      <c r="AN5" s="417"/>
      <c r="AP5" s="8"/>
      <c r="AQ5" s="8"/>
      <c r="AR5" s="384" t="s">
        <v>125</v>
      </c>
      <c r="AS5" s="388"/>
      <c r="AU5" s="158">
        <f>$K$5</f>
        <v>7.0000000000000007E-2</v>
      </c>
      <c r="AV5" s="159"/>
      <c r="AW5" s="16"/>
      <c r="AX5" s="384" t="s">
        <v>161</v>
      </c>
      <c r="AY5" s="388"/>
      <c r="BA5" s="63"/>
      <c r="BC5" s="87"/>
      <c r="BD5" s="87"/>
      <c r="BE5" s="402" t="s">
        <v>108</v>
      </c>
      <c r="BF5" s="417"/>
      <c r="BH5" s="87"/>
      <c r="BI5" s="87"/>
      <c r="BJ5" s="384" t="s">
        <v>126</v>
      </c>
      <c r="BK5" s="388"/>
      <c r="BM5" s="158">
        <f>$K$5</f>
        <v>7.0000000000000007E-2</v>
      </c>
      <c r="BN5" s="159"/>
      <c r="BO5" s="88"/>
      <c r="BP5" s="384" t="s">
        <v>162</v>
      </c>
      <c r="BQ5" s="388"/>
      <c r="BS5" s="63"/>
      <c r="BU5" s="92"/>
      <c r="BV5" s="92"/>
      <c r="BW5" s="402" t="s">
        <v>106</v>
      </c>
      <c r="BX5" s="417"/>
      <c r="BZ5" s="92"/>
      <c r="CA5" s="92"/>
      <c r="CB5" s="402" t="s">
        <v>105</v>
      </c>
      <c r="CC5" s="417"/>
      <c r="CE5" s="92"/>
      <c r="CF5" s="92"/>
      <c r="CG5" s="384" t="s">
        <v>127</v>
      </c>
      <c r="CH5" s="388"/>
      <c r="CJ5" s="158">
        <f>$K$5</f>
        <v>7.0000000000000007E-2</v>
      </c>
      <c r="CK5" s="159"/>
      <c r="CL5" s="93"/>
      <c r="CM5" s="384" t="s">
        <v>163</v>
      </c>
      <c r="CN5" s="388"/>
      <c r="CP5" s="63"/>
      <c r="CR5" s="276"/>
      <c r="CS5" s="276"/>
      <c r="CT5" s="402" t="s">
        <v>186</v>
      </c>
      <c r="CU5" s="417"/>
      <c r="CW5" s="276"/>
      <c r="CX5" s="276"/>
      <c r="CY5" s="402" t="s">
        <v>187</v>
      </c>
      <c r="CZ5" s="417"/>
      <c r="DB5" s="276"/>
      <c r="DC5" s="276"/>
      <c r="DD5" s="384" t="s">
        <v>188</v>
      </c>
      <c r="DE5" s="388"/>
      <c r="DG5" s="158">
        <f>$K$5</f>
        <v>7.0000000000000007E-2</v>
      </c>
      <c r="DH5" s="159"/>
      <c r="DI5" s="159"/>
      <c r="DJ5" s="384" t="s">
        <v>189</v>
      </c>
      <c r="DK5" s="388"/>
    </row>
    <row r="6" spans="1:115" ht="30">
      <c r="A6" s="197" t="s">
        <v>53</v>
      </c>
      <c r="B6" s="213" t="s">
        <v>27</v>
      </c>
      <c r="C6" s="204" t="s">
        <v>35</v>
      </c>
      <c r="D6" s="207" t="s">
        <v>36</v>
      </c>
      <c r="F6" s="197" t="s">
        <v>53</v>
      </c>
      <c r="G6" s="187" t="s">
        <v>27</v>
      </c>
      <c r="H6" s="98" t="s">
        <v>35</v>
      </c>
      <c r="I6" s="99" t="s">
        <v>36</v>
      </c>
      <c r="K6" s="197" t="s">
        <v>53</v>
      </c>
      <c r="L6" s="186" t="s">
        <v>27</v>
      </c>
      <c r="M6" s="101" t="s">
        <v>97</v>
      </c>
      <c r="N6" s="98" t="s">
        <v>35</v>
      </c>
      <c r="O6" s="99" t="s">
        <v>36</v>
      </c>
      <c r="Q6" s="63"/>
      <c r="S6" s="197" t="s">
        <v>53</v>
      </c>
      <c r="T6" s="214" t="s">
        <v>27</v>
      </c>
      <c r="U6" s="205" t="s">
        <v>35</v>
      </c>
      <c r="V6" s="208" t="s">
        <v>36</v>
      </c>
      <c r="X6" s="197" t="s">
        <v>53</v>
      </c>
      <c r="Y6" s="101" t="s">
        <v>27</v>
      </c>
      <c r="Z6" s="98" t="s">
        <v>35</v>
      </c>
      <c r="AA6" s="99" t="s">
        <v>36</v>
      </c>
      <c r="AC6" s="197" t="s">
        <v>53</v>
      </c>
      <c r="AD6" s="101" t="s">
        <v>27</v>
      </c>
      <c r="AE6" s="101" t="s">
        <v>97</v>
      </c>
      <c r="AF6" s="98" t="s">
        <v>35</v>
      </c>
      <c r="AG6" s="99" t="s">
        <v>36</v>
      </c>
      <c r="AI6" s="63"/>
      <c r="AK6" s="197" t="s">
        <v>53</v>
      </c>
      <c r="AL6" s="210" t="s">
        <v>27</v>
      </c>
      <c r="AM6" s="204" t="s">
        <v>35</v>
      </c>
      <c r="AN6" s="207" t="s">
        <v>36</v>
      </c>
      <c r="AP6" s="197" t="s">
        <v>53</v>
      </c>
      <c r="AQ6" s="100" t="s">
        <v>27</v>
      </c>
      <c r="AR6" s="98" t="s">
        <v>35</v>
      </c>
      <c r="AS6" s="99" t="s">
        <v>36</v>
      </c>
      <c r="AU6" s="197" t="s">
        <v>53</v>
      </c>
      <c r="AV6" s="113" t="s">
        <v>27</v>
      </c>
      <c r="AW6" s="100" t="s">
        <v>97</v>
      </c>
      <c r="AX6" s="98" t="s">
        <v>35</v>
      </c>
      <c r="AY6" s="99" t="s">
        <v>36</v>
      </c>
      <c r="BA6" s="63"/>
      <c r="BC6" s="197" t="s">
        <v>53</v>
      </c>
      <c r="BD6" s="210" t="s">
        <v>27</v>
      </c>
      <c r="BE6" s="204" t="s">
        <v>35</v>
      </c>
      <c r="BF6" s="207" t="s">
        <v>36</v>
      </c>
      <c r="BH6" s="197" t="s">
        <v>53</v>
      </c>
      <c r="BI6" s="210" t="s">
        <v>27</v>
      </c>
      <c r="BJ6" s="205" t="s">
        <v>35</v>
      </c>
      <c r="BK6" s="208" t="s">
        <v>36</v>
      </c>
      <c r="BM6" s="197" t="s">
        <v>53</v>
      </c>
      <c r="BN6" s="113" t="s">
        <v>27</v>
      </c>
      <c r="BO6" s="100" t="s">
        <v>97</v>
      </c>
      <c r="BP6" s="98" t="s">
        <v>35</v>
      </c>
      <c r="BQ6" s="99" t="s">
        <v>36</v>
      </c>
      <c r="BS6" s="63"/>
      <c r="BU6" s="197" t="s">
        <v>53</v>
      </c>
      <c r="BV6" s="210" t="s">
        <v>27</v>
      </c>
      <c r="BW6" s="204" t="s">
        <v>104</v>
      </c>
      <c r="BX6" s="207" t="s">
        <v>26</v>
      </c>
      <c r="BZ6" s="197" t="s">
        <v>53</v>
      </c>
      <c r="CA6" s="210" t="s">
        <v>27</v>
      </c>
      <c r="CB6" s="204" t="s">
        <v>35</v>
      </c>
      <c r="CC6" s="207" t="s">
        <v>36</v>
      </c>
      <c r="CE6" s="197" t="s">
        <v>53</v>
      </c>
      <c r="CF6" s="137" t="s">
        <v>27</v>
      </c>
      <c r="CG6" s="152" t="s">
        <v>35</v>
      </c>
      <c r="CH6" s="99" t="s">
        <v>36</v>
      </c>
      <c r="CJ6" s="197" t="s">
        <v>53</v>
      </c>
      <c r="CK6" s="101" t="s">
        <v>27</v>
      </c>
      <c r="CL6" s="101" t="s">
        <v>97</v>
      </c>
      <c r="CM6" s="98" t="s">
        <v>35</v>
      </c>
      <c r="CN6" s="99" t="s">
        <v>36</v>
      </c>
      <c r="CP6" s="63"/>
      <c r="CR6" s="197" t="s">
        <v>53</v>
      </c>
      <c r="CS6" s="283" t="s">
        <v>27</v>
      </c>
      <c r="CT6" s="278" t="s">
        <v>104</v>
      </c>
      <c r="CU6" s="280" t="s">
        <v>26</v>
      </c>
      <c r="CW6" s="197" t="s">
        <v>53</v>
      </c>
      <c r="CX6" s="283" t="s">
        <v>27</v>
      </c>
      <c r="CY6" s="278" t="s">
        <v>35</v>
      </c>
      <c r="CZ6" s="280" t="s">
        <v>36</v>
      </c>
      <c r="DB6" s="197" t="s">
        <v>53</v>
      </c>
      <c r="DC6" s="284" t="s">
        <v>27</v>
      </c>
      <c r="DD6" s="285" t="s">
        <v>35</v>
      </c>
      <c r="DE6" s="281" t="s">
        <v>36</v>
      </c>
      <c r="DG6" s="197" t="s">
        <v>53</v>
      </c>
      <c r="DH6" s="283" t="s">
        <v>27</v>
      </c>
      <c r="DI6" s="283" t="s">
        <v>97</v>
      </c>
      <c r="DJ6" s="279" t="s">
        <v>35</v>
      </c>
      <c r="DK6" s="281" t="s">
        <v>36</v>
      </c>
    </row>
    <row r="7" spans="1:115" ht="15" hidden="1" customHeight="1">
      <c r="A7" s="198">
        <v>2015</v>
      </c>
      <c r="B7" s="193">
        <v>-8</v>
      </c>
      <c r="C7" s="50"/>
      <c r="D7" s="51"/>
      <c r="F7" s="198">
        <v>2015</v>
      </c>
      <c r="G7" s="193">
        <v>-6</v>
      </c>
      <c r="H7" s="50"/>
      <c r="I7" s="51"/>
      <c r="K7" s="198">
        <v>2015</v>
      </c>
      <c r="L7" s="195">
        <v>-6</v>
      </c>
      <c r="M7" s="96">
        <v>-1</v>
      </c>
      <c r="N7" s="50"/>
      <c r="O7" s="51"/>
      <c r="Q7" s="63"/>
      <c r="S7" s="198">
        <v>2015</v>
      </c>
      <c r="T7" s="193">
        <v>-6</v>
      </c>
      <c r="U7" s="50"/>
      <c r="V7" s="51"/>
      <c r="X7" s="198">
        <v>2015</v>
      </c>
      <c r="Y7" s="195">
        <v>-6</v>
      </c>
      <c r="Z7" s="50"/>
      <c r="AA7" s="51"/>
      <c r="AC7" s="198">
        <v>2015</v>
      </c>
      <c r="AD7" s="70">
        <v>-6</v>
      </c>
      <c r="AE7" s="96">
        <v>-1</v>
      </c>
      <c r="AF7" s="50"/>
      <c r="AG7" s="51"/>
      <c r="AI7" s="63"/>
      <c r="AK7" s="198">
        <v>2015</v>
      </c>
      <c r="AL7" s="160">
        <v>-6</v>
      </c>
      <c r="AM7" s="50"/>
      <c r="AN7" s="51"/>
      <c r="AP7" s="198">
        <v>2015</v>
      </c>
      <c r="AQ7" s="18">
        <v>-6</v>
      </c>
      <c r="AR7" s="50"/>
      <c r="AS7" s="51"/>
      <c r="AU7" s="198">
        <v>2015</v>
      </c>
      <c r="AV7" s="95">
        <v>-6</v>
      </c>
      <c r="AW7" s="18">
        <v>-1</v>
      </c>
      <c r="AX7" s="50"/>
      <c r="AY7" s="51"/>
      <c r="BA7" s="63"/>
      <c r="BC7" s="198">
        <v>2015</v>
      </c>
      <c r="BD7" s="201">
        <v>-6</v>
      </c>
      <c r="BE7" s="50"/>
      <c r="BF7" s="51"/>
      <c r="BH7" s="198">
        <v>2015</v>
      </c>
      <c r="BI7" s="201">
        <v>-6</v>
      </c>
      <c r="BJ7" s="50"/>
      <c r="BK7" s="51"/>
      <c r="BM7" s="198">
        <v>2015</v>
      </c>
      <c r="BN7" s="201">
        <v>-6</v>
      </c>
      <c r="BO7" s="156">
        <v>-1</v>
      </c>
      <c r="BP7" s="50"/>
      <c r="BQ7" s="51"/>
      <c r="BS7" s="63"/>
      <c r="BU7" s="198">
        <v>2015</v>
      </c>
      <c r="BV7" s="201">
        <v>-6</v>
      </c>
      <c r="BW7" s="97"/>
      <c r="BX7" s="51"/>
      <c r="BZ7" s="198">
        <v>2015</v>
      </c>
      <c r="CA7" s="201">
        <v>-6</v>
      </c>
      <c r="CB7" s="50"/>
      <c r="CC7" s="51"/>
      <c r="CE7" s="198">
        <v>2015</v>
      </c>
      <c r="CF7" s="201">
        <v>-6</v>
      </c>
      <c r="CG7" s="153"/>
      <c r="CH7" s="51"/>
      <c r="CJ7" s="198">
        <v>2015</v>
      </c>
      <c r="CK7" s="201">
        <v>-6</v>
      </c>
      <c r="CL7" s="156">
        <v>-1</v>
      </c>
      <c r="CM7" s="50"/>
      <c r="CN7" s="51"/>
      <c r="CP7" s="63"/>
      <c r="CR7" s="198">
        <v>2015</v>
      </c>
      <c r="CS7" s="277">
        <v>-6</v>
      </c>
      <c r="CT7" s="97"/>
      <c r="CU7" s="51"/>
      <c r="CW7" s="198">
        <v>2015</v>
      </c>
      <c r="CX7" s="277">
        <v>-6</v>
      </c>
      <c r="CY7" s="50"/>
      <c r="CZ7" s="51"/>
      <c r="DB7" s="198">
        <v>2015</v>
      </c>
      <c r="DC7" s="277">
        <v>-6</v>
      </c>
      <c r="DD7" s="153"/>
      <c r="DE7" s="51"/>
      <c r="DG7" s="198">
        <v>2015</v>
      </c>
      <c r="DH7" s="277">
        <v>-6</v>
      </c>
      <c r="DI7" s="156">
        <v>-1</v>
      </c>
      <c r="DJ7" s="50"/>
      <c r="DK7" s="51"/>
    </row>
    <row r="8" spans="1:115" ht="15" hidden="1" customHeight="1">
      <c r="A8" s="198">
        <v>2016</v>
      </c>
      <c r="B8" s="193">
        <v>-7</v>
      </c>
      <c r="C8" s="50"/>
      <c r="D8" s="51"/>
      <c r="F8" s="198">
        <v>2016</v>
      </c>
      <c r="G8" s="193">
        <v>-5</v>
      </c>
      <c r="H8" s="50"/>
      <c r="I8" s="51"/>
      <c r="K8" s="198">
        <v>2016</v>
      </c>
      <c r="L8" s="195">
        <v>-5</v>
      </c>
      <c r="M8" s="96">
        <v>0</v>
      </c>
      <c r="N8" s="50"/>
      <c r="O8" s="51"/>
      <c r="Q8" s="63"/>
      <c r="S8" s="198">
        <v>2016</v>
      </c>
      <c r="T8" s="193">
        <v>-5</v>
      </c>
      <c r="U8" s="50"/>
      <c r="V8" s="51"/>
      <c r="X8" s="198">
        <v>2016</v>
      </c>
      <c r="Y8" s="195">
        <v>-5</v>
      </c>
      <c r="Z8" s="50"/>
      <c r="AA8" s="51"/>
      <c r="AC8" s="198">
        <v>2016</v>
      </c>
      <c r="AD8" s="70">
        <v>-5</v>
      </c>
      <c r="AE8" s="96">
        <v>0</v>
      </c>
      <c r="AF8" s="50"/>
      <c r="AG8" s="51"/>
      <c r="AI8" s="63"/>
      <c r="AK8" s="198">
        <v>2016</v>
      </c>
      <c r="AL8" s="160">
        <v>-5</v>
      </c>
      <c r="AM8" s="50"/>
      <c r="AN8" s="51"/>
      <c r="AP8" s="198">
        <v>2016</v>
      </c>
      <c r="AQ8" s="18">
        <v>-5</v>
      </c>
      <c r="AR8" s="50"/>
      <c r="AS8" s="51"/>
      <c r="AU8" s="198">
        <v>2016</v>
      </c>
      <c r="AV8" s="95">
        <v>-5</v>
      </c>
      <c r="AW8" s="18">
        <v>0</v>
      </c>
      <c r="AX8" s="50"/>
      <c r="AY8" s="51"/>
      <c r="BA8" s="63"/>
      <c r="BC8" s="198">
        <v>2016</v>
      </c>
      <c r="BD8" s="201">
        <v>-5</v>
      </c>
      <c r="BE8" s="50"/>
      <c r="BF8" s="51"/>
      <c r="BH8" s="198">
        <v>2016</v>
      </c>
      <c r="BI8" s="201">
        <v>-5</v>
      </c>
      <c r="BJ8" s="50"/>
      <c r="BK8" s="51"/>
      <c r="BM8" s="198">
        <v>2016</v>
      </c>
      <c r="BN8" s="201">
        <v>-5</v>
      </c>
      <c r="BO8" s="156">
        <v>0</v>
      </c>
      <c r="BP8" s="50"/>
      <c r="BQ8" s="51"/>
      <c r="BS8" s="63"/>
      <c r="BU8" s="198">
        <v>2016</v>
      </c>
      <c r="BV8" s="201">
        <v>-5</v>
      </c>
      <c r="BW8" s="97"/>
      <c r="BX8" s="51"/>
      <c r="BZ8" s="198">
        <v>2016</v>
      </c>
      <c r="CA8" s="201">
        <v>-5</v>
      </c>
      <c r="CB8" s="50"/>
      <c r="CC8" s="51"/>
      <c r="CE8" s="198">
        <v>2016</v>
      </c>
      <c r="CF8" s="201">
        <v>-5</v>
      </c>
      <c r="CG8" s="153"/>
      <c r="CH8" s="51"/>
      <c r="CJ8" s="198">
        <v>2016</v>
      </c>
      <c r="CK8" s="201">
        <v>-5</v>
      </c>
      <c r="CL8" s="156">
        <v>0</v>
      </c>
      <c r="CM8" s="50"/>
      <c r="CN8" s="51"/>
      <c r="CP8" s="63"/>
      <c r="CR8" s="198">
        <v>2016</v>
      </c>
      <c r="CS8" s="277">
        <v>-5</v>
      </c>
      <c r="CT8" s="97"/>
      <c r="CU8" s="51"/>
      <c r="CW8" s="198">
        <v>2016</v>
      </c>
      <c r="CX8" s="277">
        <v>-5</v>
      </c>
      <c r="CY8" s="50"/>
      <c r="CZ8" s="51"/>
      <c r="DB8" s="198">
        <v>2016</v>
      </c>
      <c r="DC8" s="277">
        <v>-5</v>
      </c>
      <c r="DD8" s="153"/>
      <c r="DE8" s="51"/>
      <c r="DG8" s="198">
        <v>2016</v>
      </c>
      <c r="DH8" s="277">
        <v>-5</v>
      </c>
      <c r="DI8" s="156">
        <v>0</v>
      </c>
      <c r="DJ8" s="50"/>
      <c r="DK8" s="51"/>
    </row>
    <row r="9" spans="1:115" hidden="1">
      <c r="A9" s="198">
        <f>Maintenance!A40</f>
        <v>0</v>
      </c>
      <c r="B9" s="193">
        <v>-6</v>
      </c>
      <c r="C9" s="50"/>
      <c r="D9" s="51"/>
      <c r="F9" s="198">
        <v>2014</v>
      </c>
      <c r="G9" s="193">
        <v>-6</v>
      </c>
      <c r="H9" s="50"/>
      <c r="I9" s="51"/>
      <c r="K9" s="198">
        <v>2014</v>
      </c>
      <c r="L9" s="195">
        <v>-6</v>
      </c>
      <c r="M9" s="195">
        <v>-6</v>
      </c>
      <c r="N9" s="50"/>
      <c r="O9" s="51"/>
      <c r="Q9" s="63"/>
      <c r="S9" s="198">
        <v>2014</v>
      </c>
      <c r="T9" s="160">
        <v>-6</v>
      </c>
      <c r="U9" s="50"/>
      <c r="V9" s="51"/>
      <c r="X9" s="198">
        <v>2014</v>
      </c>
      <c r="Y9" s="195">
        <v>-6</v>
      </c>
      <c r="Z9" s="50"/>
      <c r="AA9" s="51"/>
      <c r="AC9" s="198">
        <v>2014</v>
      </c>
      <c r="AD9" s="70">
        <v>-6</v>
      </c>
      <c r="AE9" s="96">
        <v>-6</v>
      </c>
      <c r="AF9" s="50"/>
      <c r="AG9" s="51"/>
      <c r="AI9" s="63"/>
      <c r="AK9" s="198">
        <v>2014</v>
      </c>
      <c r="AL9" s="160">
        <v>-6</v>
      </c>
      <c r="AM9" s="50"/>
      <c r="AN9" s="51"/>
      <c r="AP9" s="198">
        <v>2014</v>
      </c>
      <c r="AQ9" s="18">
        <v>-6</v>
      </c>
      <c r="AR9" s="50"/>
      <c r="AS9" s="51"/>
      <c r="AU9" s="198">
        <v>2014</v>
      </c>
      <c r="AV9" s="95">
        <v>-6</v>
      </c>
      <c r="AW9" s="160">
        <v>-6</v>
      </c>
      <c r="AX9" s="50"/>
      <c r="AY9" s="51"/>
      <c r="BA9" s="63"/>
      <c r="BC9" s="198">
        <v>2014</v>
      </c>
      <c r="BD9" s="201">
        <v>-6</v>
      </c>
      <c r="BE9" s="50"/>
      <c r="BF9" s="51"/>
      <c r="BH9" s="198">
        <v>2014</v>
      </c>
      <c r="BI9" s="201">
        <v>-6</v>
      </c>
      <c r="BJ9" s="50"/>
      <c r="BK9" s="51"/>
      <c r="BM9" s="198">
        <v>2014</v>
      </c>
      <c r="BN9" s="201">
        <v>-6</v>
      </c>
      <c r="BO9" s="277">
        <v>-6</v>
      </c>
      <c r="BP9" s="50"/>
      <c r="BQ9" s="51"/>
      <c r="BS9" s="63"/>
      <c r="BU9" s="198">
        <v>2014</v>
      </c>
      <c r="BV9" s="201">
        <v>-6</v>
      </c>
      <c r="BW9" s="97"/>
      <c r="BX9" s="51"/>
      <c r="BZ9" s="198">
        <v>2014</v>
      </c>
      <c r="CA9" s="201">
        <v>-6</v>
      </c>
      <c r="CB9" s="50">
        <f t="shared" ref="CB9:CB16" si="0">BX9</f>
        <v>0</v>
      </c>
      <c r="CC9" s="51">
        <v>0</v>
      </c>
      <c r="CE9" s="198">
        <v>2014</v>
      </c>
      <c r="CF9" s="201">
        <v>-6</v>
      </c>
      <c r="CG9" s="153"/>
      <c r="CH9" s="51">
        <f t="shared" ref="CH9:CH17" si="1">CB9-CC9</f>
        <v>0</v>
      </c>
      <c r="CJ9" s="198">
        <v>2014</v>
      </c>
      <c r="CK9" s="201">
        <v>-6</v>
      </c>
      <c r="CL9" s="277">
        <v>-6</v>
      </c>
      <c r="CM9" s="50"/>
      <c r="CN9" s="51"/>
      <c r="CP9" s="63"/>
      <c r="CR9" s="198">
        <v>2014</v>
      </c>
      <c r="CS9" s="277">
        <v>-6</v>
      </c>
      <c r="CT9" s="97"/>
      <c r="CU9" s="51"/>
      <c r="CW9" s="198">
        <v>2014</v>
      </c>
      <c r="CX9" s="277">
        <v>-6</v>
      </c>
      <c r="CY9" s="50">
        <f t="shared" ref="CY9:CY36" si="2">CU9</f>
        <v>0</v>
      </c>
      <c r="CZ9" s="51">
        <v>0</v>
      </c>
      <c r="DB9" s="198">
        <v>2014</v>
      </c>
      <c r="DC9" s="277">
        <v>-6</v>
      </c>
      <c r="DD9" s="153"/>
      <c r="DE9" s="51">
        <f t="shared" ref="DE9:DE36" si="3">CY9-CZ9</f>
        <v>0</v>
      </c>
      <c r="DG9" s="198">
        <v>2014</v>
      </c>
      <c r="DH9" s="277">
        <v>-6</v>
      </c>
      <c r="DI9" s="277">
        <v>-6</v>
      </c>
      <c r="DJ9" s="50"/>
      <c r="DK9" s="51"/>
    </row>
    <row r="10" spans="1:115" ht="15.75" customHeight="1">
      <c r="A10" s="198">
        <f>Maintenance!$A41</f>
        <v>2017</v>
      </c>
      <c r="B10" s="198">
        <f>Maintenance!$B41</f>
        <v>-5</v>
      </c>
      <c r="C10" s="50"/>
      <c r="D10" s="51"/>
      <c r="F10" s="198">
        <f>Maintenance!$A41</f>
        <v>2017</v>
      </c>
      <c r="G10" s="193">
        <f>Maintenance!$B41</f>
        <v>-5</v>
      </c>
      <c r="H10" s="50"/>
      <c r="I10" s="51"/>
      <c r="K10" s="198">
        <f>Maintenance!$A41</f>
        <v>2017</v>
      </c>
      <c r="L10" s="195">
        <f>Maintenance!$B41</f>
        <v>-5</v>
      </c>
      <c r="M10" s="195">
        <f>Maintenance!$B41</f>
        <v>-5</v>
      </c>
      <c r="N10" s="50"/>
      <c r="O10" s="51"/>
      <c r="Q10" s="63"/>
      <c r="S10" s="198">
        <f>Maintenance!$A41</f>
        <v>2017</v>
      </c>
      <c r="T10" s="160">
        <f>Maintenance!$B41</f>
        <v>-5</v>
      </c>
      <c r="U10" s="50"/>
      <c r="V10" s="51"/>
      <c r="X10" s="198">
        <f>Maintenance!$A41</f>
        <v>2017</v>
      </c>
      <c r="Y10" s="195">
        <f>Maintenance!$B41</f>
        <v>-5</v>
      </c>
      <c r="Z10" s="50"/>
      <c r="AA10" s="51"/>
      <c r="AC10" s="198">
        <f>Maintenance!$A41</f>
        <v>2017</v>
      </c>
      <c r="AD10" s="70">
        <f>Maintenance!$B41</f>
        <v>-5</v>
      </c>
      <c r="AE10" s="96">
        <f>Maintenance!$B41</f>
        <v>-5</v>
      </c>
      <c r="AF10" s="50"/>
      <c r="AG10" s="51"/>
      <c r="AI10" s="63"/>
      <c r="AK10" s="198">
        <f>Maintenance!$A41</f>
        <v>2017</v>
      </c>
      <c r="AL10" s="160">
        <f>Maintenance!$B41</f>
        <v>-5</v>
      </c>
      <c r="AM10" s="50"/>
      <c r="AN10" s="51"/>
      <c r="AP10" s="198">
        <f>Maintenance!$A41</f>
        <v>2017</v>
      </c>
      <c r="AQ10" s="18">
        <f>Maintenance!$B41</f>
        <v>-5</v>
      </c>
      <c r="AR10" s="50"/>
      <c r="AS10" s="51"/>
      <c r="AU10" s="198">
        <f>Maintenance!$A41</f>
        <v>2017</v>
      </c>
      <c r="AV10" s="95">
        <f>Maintenance!$B41</f>
        <v>-5</v>
      </c>
      <c r="AW10" s="160">
        <f>Maintenance!$B41</f>
        <v>-5</v>
      </c>
      <c r="AX10" s="50"/>
      <c r="AY10" s="51"/>
      <c r="BA10" s="63"/>
      <c r="BC10" s="198">
        <f>Maintenance!$A41</f>
        <v>2017</v>
      </c>
      <c r="BD10" s="201">
        <f>Maintenance!$B41</f>
        <v>-5</v>
      </c>
      <c r="BE10" s="50"/>
      <c r="BF10" s="51"/>
      <c r="BH10" s="198">
        <f>Maintenance!$A41</f>
        <v>2017</v>
      </c>
      <c r="BI10" s="201">
        <f>Maintenance!$B41</f>
        <v>-5</v>
      </c>
      <c r="BJ10" s="50"/>
      <c r="BK10" s="51"/>
      <c r="BM10" s="198">
        <f>Maintenance!$A41</f>
        <v>2017</v>
      </c>
      <c r="BN10" s="201">
        <f>Maintenance!$B41</f>
        <v>-5</v>
      </c>
      <c r="BO10" s="277">
        <f>Maintenance!$B41</f>
        <v>-5</v>
      </c>
      <c r="BP10" s="50"/>
      <c r="BQ10" s="51"/>
      <c r="BS10" s="63"/>
      <c r="BU10" s="198">
        <f>Maintenance!$A41</f>
        <v>2017</v>
      </c>
      <c r="BV10" s="201">
        <f>Maintenance!$B41</f>
        <v>-5</v>
      </c>
      <c r="BW10" s="97"/>
      <c r="BX10" s="51"/>
      <c r="BZ10" s="198">
        <f>Maintenance!$A41</f>
        <v>2017</v>
      </c>
      <c r="CA10" s="201">
        <f>Maintenance!$B41</f>
        <v>-5</v>
      </c>
      <c r="CB10" s="50">
        <f t="shared" si="0"/>
        <v>0</v>
      </c>
      <c r="CC10" s="51">
        <v>0</v>
      </c>
      <c r="CE10" s="198">
        <f>Maintenance!$A41</f>
        <v>2017</v>
      </c>
      <c r="CF10" s="201">
        <f>Maintenance!$B41</f>
        <v>-5</v>
      </c>
      <c r="CG10" s="153"/>
      <c r="CH10" s="51">
        <f t="shared" si="1"/>
        <v>0</v>
      </c>
      <c r="CJ10" s="198">
        <f>Maintenance!$A41</f>
        <v>2017</v>
      </c>
      <c r="CK10" s="201">
        <f>Maintenance!$B41</f>
        <v>-5</v>
      </c>
      <c r="CL10" s="277">
        <f>Maintenance!$B41</f>
        <v>-5</v>
      </c>
      <c r="CM10" s="50"/>
      <c r="CN10" s="51"/>
      <c r="CP10" s="63"/>
      <c r="CR10" s="198">
        <f>Maintenance!$A41</f>
        <v>2017</v>
      </c>
      <c r="CS10" s="277">
        <f>Maintenance!$B41</f>
        <v>-5</v>
      </c>
      <c r="CT10" s="97"/>
      <c r="CU10" s="51"/>
      <c r="CW10" s="198">
        <f>Maintenance!$A41</f>
        <v>2017</v>
      </c>
      <c r="CX10" s="277">
        <f>Maintenance!$B41</f>
        <v>-5</v>
      </c>
      <c r="CY10" s="50">
        <f t="shared" si="2"/>
        <v>0</v>
      </c>
      <c r="CZ10" s="51">
        <v>0</v>
      </c>
      <c r="DB10" s="198">
        <f>Maintenance!$A41</f>
        <v>2017</v>
      </c>
      <c r="DC10" s="277">
        <f>Maintenance!$B41</f>
        <v>-5</v>
      </c>
      <c r="DD10" s="153"/>
      <c r="DE10" s="51">
        <f t="shared" si="3"/>
        <v>0</v>
      </c>
      <c r="DG10" s="198">
        <f>Maintenance!$A41</f>
        <v>2017</v>
      </c>
      <c r="DH10" s="277">
        <f>Maintenance!$B41</f>
        <v>-5</v>
      </c>
      <c r="DI10" s="277">
        <f>Maintenance!$B41</f>
        <v>-5</v>
      </c>
      <c r="DJ10" s="50"/>
      <c r="DK10" s="51"/>
    </row>
    <row r="11" spans="1:115" ht="15.75" customHeight="1">
      <c r="A11" s="198">
        <f>Maintenance!$A42</f>
        <v>2018</v>
      </c>
      <c r="B11" s="198">
        <f>Maintenance!$B42</f>
        <v>-4</v>
      </c>
      <c r="C11" s="50"/>
      <c r="D11" s="51"/>
      <c r="F11" s="198">
        <f>Maintenance!$A42</f>
        <v>2018</v>
      </c>
      <c r="G11" s="193">
        <f>Maintenance!$B42</f>
        <v>-4</v>
      </c>
      <c r="H11" s="50"/>
      <c r="I11" s="51"/>
      <c r="K11" s="198">
        <f>Maintenance!$A42</f>
        <v>2018</v>
      </c>
      <c r="L11" s="195">
        <f>Maintenance!$B42</f>
        <v>-4</v>
      </c>
      <c r="M11" s="195">
        <f>Maintenance!$B42</f>
        <v>-4</v>
      </c>
      <c r="N11" s="50"/>
      <c r="O11" s="51"/>
      <c r="Q11" s="63"/>
      <c r="S11" s="198">
        <f>Maintenance!$A42</f>
        <v>2018</v>
      </c>
      <c r="T11" s="160">
        <f>Maintenance!$B42</f>
        <v>-4</v>
      </c>
      <c r="U11" s="50"/>
      <c r="V11" s="51"/>
      <c r="X11" s="198">
        <f>Maintenance!$A42</f>
        <v>2018</v>
      </c>
      <c r="Y11" s="195">
        <f>Maintenance!$B42</f>
        <v>-4</v>
      </c>
      <c r="Z11" s="50"/>
      <c r="AA11" s="51"/>
      <c r="AC11" s="198">
        <f>Maintenance!$A42</f>
        <v>2018</v>
      </c>
      <c r="AD11" s="70">
        <f>Maintenance!$B42</f>
        <v>-4</v>
      </c>
      <c r="AE11" s="96">
        <f>Maintenance!$B42</f>
        <v>-4</v>
      </c>
      <c r="AF11" s="50"/>
      <c r="AG11" s="51"/>
      <c r="AI11" s="63"/>
      <c r="AK11" s="198">
        <f>Maintenance!$A42</f>
        <v>2018</v>
      </c>
      <c r="AL11" s="160">
        <f>Maintenance!$B42</f>
        <v>-4</v>
      </c>
      <c r="AM11" s="50"/>
      <c r="AN11" s="51"/>
      <c r="AP11" s="198">
        <f>Maintenance!$A42</f>
        <v>2018</v>
      </c>
      <c r="AQ11" s="18">
        <f>Maintenance!$B42</f>
        <v>-4</v>
      </c>
      <c r="AR11" s="50"/>
      <c r="AS11" s="51"/>
      <c r="AU11" s="198">
        <f>Maintenance!$A42</f>
        <v>2018</v>
      </c>
      <c r="AV11" s="201">
        <f>Maintenance!$B42</f>
        <v>-4</v>
      </c>
      <c r="AW11" s="160">
        <f>Maintenance!$B42</f>
        <v>-4</v>
      </c>
      <c r="AX11" s="50"/>
      <c r="AY11" s="51"/>
      <c r="BA11" s="63"/>
      <c r="BC11" s="198">
        <f>Maintenance!$A42</f>
        <v>2018</v>
      </c>
      <c r="BD11" s="201">
        <f>Maintenance!$B42</f>
        <v>-4</v>
      </c>
      <c r="BE11" s="50"/>
      <c r="BF11" s="51"/>
      <c r="BH11" s="198">
        <f>Maintenance!$A42</f>
        <v>2018</v>
      </c>
      <c r="BI11" s="201">
        <f>Maintenance!$B42</f>
        <v>-4</v>
      </c>
      <c r="BJ11" s="50"/>
      <c r="BK11" s="51"/>
      <c r="BM11" s="198">
        <f>Maintenance!$A42</f>
        <v>2018</v>
      </c>
      <c r="BN11" s="201">
        <f>Maintenance!$B42</f>
        <v>-4</v>
      </c>
      <c r="BO11" s="277">
        <f>Maintenance!$B42</f>
        <v>-4</v>
      </c>
      <c r="BP11" s="50"/>
      <c r="BQ11" s="51"/>
      <c r="BS11" s="63"/>
      <c r="BU11" s="198">
        <f>Maintenance!$A42</f>
        <v>2018</v>
      </c>
      <c r="BV11" s="201">
        <f>Maintenance!$B42</f>
        <v>-4</v>
      </c>
      <c r="BW11" s="97"/>
      <c r="BX11" s="51"/>
      <c r="BZ11" s="198">
        <f>Maintenance!$A42</f>
        <v>2018</v>
      </c>
      <c r="CA11" s="201">
        <f>Maintenance!$B42</f>
        <v>-4</v>
      </c>
      <c r="CB11" s="50">
        <f t="shared" si="0"/>
        <v>0</v>
      </c>
      <c r="CC11" s="51">
        <v>0</v>
      </c>
      <c r="CE11" s="198">
        <f>Maintenance!$A42</f>
        <v>2018</v>
      </c>
      <c r="CF11" s="201">
        <f>Maintenance!$B42</f>
        <v>-4</v>
      </c>
      <c r="CG11" s="153"/>
      <c r="CH11" s="51">
        <f t="shared" si="1"/>
        <v>0</v>
      </c>
      <c r="CJ11" s="198">
        <f>Maintenance!$A42</f>
        <v>2018</v>
      </c>
      <c r="CK11" s="201">
        <f>Maintenance!$B42</f>
        <v>-4</v>
      </c>
      <c r="CL11" s="277">
        <f>Maintenance!$B42</f>
        <v>-4</v>
      </c>
      <c r="CM11" s="50"/>
      <c r="CN11" s="51"/>
      <c r="CP11" s="63"/>
      <c r="CR11" s="198">
        <f>Maintenance!$A42</f>
        <v>2018</v>
      </c>
      <c r="CS11" s="277">
        <f>Maintenance!$B42</f>
        <v>-4</v>
      </c>
      <c r="CT11" s="97"/>
      <c r="CU11" s="51"/>
      <c r="CW11" s="198">
        <f>Maintenance!$A42</f>
        <v>2018</v>
      </c>
      <c r="CX11" s="277">
        <f>Maintenance!$B42</f>
        <v>-4</v>
      </c>
      <c r="CY11" s="50">
        <f t="shared" si="2"/>
        <v>0</v>
      </c>
      <c r="CZ11" s="51">
        <v>0</v>
      </c>
      <c r="DB11" s="198">
        <f>Maintenance!$A42</f>
        <v>2018</v>
      </c>
      <c r="DC11" s="277">
        <f>Maintenance!$B42</f>
        <v>-4</v>
      </c>
      <c r="DD11" s="153"/>
      <c r="DE11" s="51">
        <f t="shared" si="3"/>
        <v>0</v>
      </c>
      <c r="DG11" s="198">
        <f>Maintenance!$A42</f>
        <v>2018</v>
      </c>
      <c r="DH11" s="277">
        <f>Maintenance!$B42</f>
        <v>-4</v>
      </c>
      <c r="DI11" s="277">
        <f>Maintenance!$B42</f>
        <v>-4</v>
      </c>
      <c r="DJ11" s="50"/>
      <c r="DK11" s="51"/>
    </row>
    <row r="12" spans="1:115" ht="15.75" customHeight="1">
      <c r="A12" s="198">
        <f>Maintenance!$A43</f>
        <v>2019</v>
      </c>
      <c r="B12" s="198">
        <f>Maintenance!$B43</f>
        <v>-3</v>
      </c>
      <c r="C12" s="50"/>
      <c r="D12" s="51"/>
      <c r="F12" s="198">
        <f>Maintenance!$A43</f>
        <v>2019</v>
      </c>
      <c r="G12" s="193">
        <f>Maintenance!$B43</f>
        <v>-3</v>
      </c>
      <c r="H12" s="50"/>
      <c r="I12" s="51"/>
      <c r="K12" s="198">
        <f>Maintenance!$A43</f>
        <v>2019</v>
      </c>
      <c r="L12" s="195">
        <f>Maintenance!$B43</f>
        <v>-3</v>
      </c>
      <c r="M12" s="195">
        <f>Maintenance!$B43</f>
        <v>-3</v>
      </c>
      <c r="N12" s="50"/>
      <c r="O12" s="51"/>
      <c r="Q12" s="63"/>
      <c r="S12" s="198">
        <f>Maintenance!$A43</f>
        <v>2019</v>
      </c>
      <c r="T12" s="160">
        <f>Maintenance!$B43</f>
        <v>-3</v>
      </c>
      <c r="U12" s="50"/>
      <c r="V12" s="51"/>
      <c r="X12" s="198">
        <f>Maintenance!$A43</f>
        <v>2019</v>
      </c>
      <c r="Y12" s="195">
        <f>Maintenance!$B43</f>
        <v>-3</v>
      </c>
      <c r="Z12" s="50"/>
      <c r="AA12" s="51"/>
      <c r="AC12" s="198">
        <f>Maintenance!$A43</f>
        <v>2019</v>
      </c>
      <c r="AD12" s="70">
        <f>Maintenance!$B43</f>
        <v>-3</v>
      </c>
      <c r="AE12" s="96">
        <f>Maintenance!$B43</f>
        <v>-3</v>
      </c>
      <c r="AF12" s="50"/>
      <c r="AG12" s="51"/>
      <c r="AI12" s="63"/>
      <c r="AK12" s="198">
        <f>Maintenance!$A43</f>
        <v>2019</v>
      </c>
      <c r="AL12" s="160">
        <f>Maintenance!$B43</f>
        <v>-3</v>
      </c>
      <c r="AM12" s="50"/>
      <c r="AN12" s="51"/>
      <c r="AP12" s="198">
        <f>Maintenance!$A43</f>
        <v>2019</v>
      </c>
      <c r="AQ12" s="18">
        <f>Maintenance!$B43</f>
        <v>-3</v>
      </c>
      <c r="AR12" s="50"/>
      <c r="AS12" s="51"/>
      <c r="AU12" s="198">
        <f>Maintenance!$A43</f>
        <v>2019</v>
      </c>
      <c r="AV12" s="201">
        <f>Maintenance!$B43</f>
        <v>-3</v>
      </c>
      <c r="AW12" s="160">
        <f>Maintenance!$B43</f>
        <v>-3</v>
      </c>
      <c r="AX12" s="50"/>
      <c r="AY12" s="51"/>
      <c r="BA12" s="63"/>
      <c r="BC12" s="198">
        <f>Maintenance!$A43</f>
        <v>2019</v>
      </c>
      <c r="BD12" s="201">
        <f>Maintenance!$B43</f>
        <v>-3</v>
      </c>
      <c r="BE12" s="50"/>
      <c r="BF12" s="51"/>
      <c r="BH12" s="198">
        <f>Maintenance!$A43</f>
        <v>2019</v>
      </c>
      <c r="BI12" s="201">
        <f>Maintenance!$B43</f>
        <v>-3</v>
      </c>
      <c r="BJ12" s="50"/>
      <c r="BK12" s="51"/>
      <c r="BM12" s="198">
        <f>Maintenance!$A43</f>
        <v>2019</v>
      </c>
      <c r="BN12" s="201">
        <f>Maintenance!$B43</f>
        <v>-3</v>
      </c>
      <c r="BO12" s="277">
        <f>Maintenance!$B43</f>
        <v>-3</v>
      </c>
      <c r="BP12" s="50"/>
      <c r="BQ12" s="51"/>
      <c r="BS12" s="63"/>
      <c r="BU12" s="198">
        <f>Maintenance!$A43</f>
        <v>2019</v>
      </c>
      <c r="BV12" s="201">
        <f>Maintenance!$B43</f>
        <v>-3</v>
      </c>
      <c r="BW12" s="97"/>
      <c r="BX12" s="51"/>
      <c r="BZ12" s="198">
        <f>Maintenance!$A43</f>
        <v>2019</v>
      </c>
      <c r="CA12" s="201">
        <f>Maintenance!$B43</f>
        <v>-3</v>
      </c>
      <c r="CB12" s="50">
        <f t="shared" si="0"/>
        <v>0</v>
      </c>
      <c r="CC12" s="51">
        <v>0</v>
      </c>
      <c r="CE12" s="198">
        <f>Maintenance!$A43</f>
        <v>2019</v>
      </c>
      <c r="CF12" s="201">
        <f>Maintenance!$B43</f>
        <v>-3</v>
      </c>
      <c r="CG12" s="153"/>
      <c r="CH12" s="51">
        <f t="shared" si="1"/>
        <v>0</v>
      </c>
      <c r="CJ12" s="198">
        <f>Maintenance!$A43</f>
        <v>2019</v>
      </c>
      <c r="CK12" s="201">
        <f>Maintenance!$B43</f>
        <v>-3</v>
      </c>
      <c r="CL12" s="277">
        <f>Maintenance!$B43</f>
        <v>-3</v>
      </c>
      <c r="CM12" s="50"/>
      <c r="CN12" s="51"/>
      <c r="CP12" s="63"/>
      <c r="CR12" s="198">
        <f>Maintenance!$A43</f>
        <v>2019</v>
      </c>
      <c r="CS12" s="277">
        <f>Maintenance!$B43</f>
        <v>-3</v>
      </c>
      <c r="CT12" s="97"/>
      <c r="CU12" s="51"/>
      <c r="CW12" s="198">
        <f>Maintenance!$A43</f>
        <v>2019</v>
      </c>
      <c r="CX12" s="277">
        <f>Maintenance!$B43</f>
        <v>-3</v>
      </c>
      <c r="CY12" s="50">
        <f t="shared" si="2"/>
        <v>0</v>
      </c>
      <c r="CZ12" s="51">
        <v>0</v>
      </c>
      <c r="DB12" s="198">
        <f>Maintenance!$A43</f>
        <v>2019</v>
      </c>
      <c r="DC12" s="277">
        <f>Maintenance!$B43</f>
        <v>-3</v>
      </c>
      <c r="DD12" s="153"/>
      <c r="DE12" s="51">
        <f t="shared" si="3"/>
        <v>0</v>
      </c>
      <c r="DG12" s="198">
        <f>Maintenance!$A43</f>
        <v>2019</v>
      </c>
      <c r="DH12" s="277">
        <f>Maintenance!$B43</f>
        <v>-3</v>
      </c>
      <c r="DI12" s="277">
        <f>Maintenance!$B43</f>
        <v>-3</v>
      </c>
      <c r="DJ12" s="50"/>
      <c r="DK12" s="51"/>
    </row>
    <row r="13" spans="1:115" ht="15.75" customHeight="1">
      <c r="A13" s="198">
        <f>Maintenance!$A44</f>
        <v>2020</v>
      </c>
      <c r="B13" s="198">
        <f>Maintenance!$B44</f>
        <v>-2</v>
      </c>
      <c r="C13" s="168">
        <f>'Vehicle Operating Analysis'!J8</f>
        <v>2822236.94</v>
      </c>
      <c r="D13" s="169">
        <f>'Vehicle Operating Analysis'!J9</f>
        <v>2822236.94</v>
      </c>
      <c r="F13" s="198">
        <f>Maintenance!$A44</f>
        <v>2020</v>
      </c>
      <c r="G13" s="193">
        <f>Maintenance!$B44</f>
        <v>-2</v>
      </c>
      <c r="H13" s="50"/>
      <c r="I13" s="51"/>
      <c r="K13" s="198">
        <f>Maintenance!$A44</f>
        <v>2020</v>
      </c>
      <c r="L13" s="195">
        <f>Maintenance!$B44</f>
        <v>-2</v>
      </c>
      <c r="M13" s="195">
        <f>Maintenance!$B44</f>
        <v>-2</v>
      </c>
      <c r="N13" s="50"/>
      <c r="O13" s="51"/>
      <c r="Q13" s="63"/>
      <c r="S13" s="198">
        <f>Maintenance!$A44</f>
        <v>2020</v>
      </c>
      <c r="T13" s="160">
        <f>Maintenance!$B44</f>
        <v>-2</v>
      </c>
      <c r="U13" s="168">
        <f>'Travel Time Analysis'!J8</f>
        <v>5964553.8486252502</v>
      </c>
      <c r="V13" s="169">
        <f>'Travel Time Analysis'!J9</f>
        <v>6273065.2545886254</v>
      </c>
      <c r="X13" s="198">
        <f>Maintenance!$A44</f>
        <v>2020</v>
      </c>
      <c r="Y13" s="195">
        <f>Maintenance!$B44</f>
        <v>-2</v>
      </c>
      <c r="Z13" s="50"/>
      <c r="AA13" s="51"/>
      <c r="AC13" s="198">
        <f>Maintenance!$A44</f>
        <v>2020</v>
      </c>
      <c r="AD13" s="70">
        <f>Maintenance!$B44</f>
        <v>-2</v>
      </c>
      <c r="AE13" s="96">
        <f>Maintenance!$B44</f>
        <v>-2</v>
      </c>
      <c r="AF13" s="50"/>
      <c r="AG13" s="51"/>
      <c r="AI13" s="63"/>
      <c r="AK13" s="198">
        <f>Maintenance!$A44</f>
        <v>2020</v>
      </c>
      <c r="AL13" s="160">
        <f>Maintenance!$B44</f>
        <v>-2</v>
      </c>
      <c r="AM13" s="168">
        <f>'Collision Conversion Matrix'!D11</f>
        <v>1637180</v>
      </c>
      <c r="AN13" s="169">
        <f>'Collision Conversion Matrix'!D20</f>
        <v>933112</v>
      </c>
      <c r="AP13" s="198">
        <f>Maintenance!$A44</f>
        <v>2020</v>
      </c>
      <c r="AQ13" s="18">
        <f>Maintenance!$B44</f>
        <v>-2</v>
      </c>
      <c r="AR13" s="50"/>
      <c r="AS13" s="51"/>
      <c r="AU13" s="198">
        <f>Maintenance!$A44</f>
        <v>2020</v>
      </c>
      <c r="AV13" s="201">
        <f>Maintenance!$B44</f>
        <v>-2</v>
      </c>
      <c r="AW13" s="160">
        <f>Maintenance!$B44</f>
        <v>-2</v>
      </c>
      <c r="AX13" s="50"/>
      <c r="AY13" s="51"/>
      <c r="BA13" s="63"/>
      <c r="BC13" s="198">
        <f>Maintenance!$A44</f>
        <v>2020</v>
      </c>
      <c r="BD13" s="201">
        <f>Maintenance!$B44</f>
        <v>-2</v>
      </c>
      <c r="BE13" s="168">
        <f>'Environmental Analysis'!J8</f>
        <v>471400.12799999991</v>
      </c>
      <c r="BF13" s="169">
        <f>'Environmental Analysis'!J9</f>
        <v>471400.12799999991</v>
      </c>
      <c r="BH13" s="198">
        <f>Maintenance!$A44</f>
        <v>2020</v>
      </c>
      <c r="BI13" s="201">
        <f>Maintenance!$B44</f>
        <v>-2</v>
      </c>
      <c r="BJ13" s="50"/>
      <c r="BK13" s="51"/>
      <c r="BM13" s="198">
        <f>Maintenance!$A44</f>
        <v>2020</v>
      </c>
      <c r="BN13" s="201">
        <f>Maintenance!$B44</f>
        <v>-2</v>
      </c>
      <c r="BO13" s="277">
        <f>Maintenance!$B44</f>
        <v>-2</v>
      </c>
      <c r="BP13" s="50"/>
      <c r="BQ13" s="51"/>
      <c r="BS13" s="63"/>
      <c r="BU13" s="198">
        <f>Maintenance!$A44</f>
        <v>2020</v>
      </c>
      <c r="BV13" s="201">
        <f>Maintenance!$B44</f>
        <v>-2</v>
      </c>
      <c r="BW13" s="97"/>
      <c r="BX13" s="51"/>
      <c r="BZ13" s="198">
        <f>Maintenance!$A44</f>
        <v>2020</v>
      </c>
      <c r="CA13" s="201">
        <f>Maintenance!$B44</f>
        <v>-2</v>
      </c>
      <c r="CB13" s="50">
        <f t="shared" si="0"/>
        <v>0</v>
      </c>
      <c r="CC13" s="51">
        <v>0</v>
      </c>
      <c r="CE13" s="198">
        <f>Maintenance!$A44</f>
        <v>2020</v>
      </c>
      <c r="CF13" s="201">
        <f>Maintenance!$B44</f>
        <v>-2</v>
      </c>
      <c r="CG13" s="153"/>
      <c r="CH13" s="51">
        <f t="shared" si="1"/>
        <v>0</v>
      </c>
      <c r="CJ13" s="198">
        <f>Maintenance!$A44</f>
        <v>2020</v>
      </c>
      <c r="CK13" s="201">
        <f>Maintenance!$B44</f>
        <v>-2</v>
      </c>
      <c r="CL13" s="277">
        <f>Maintenance!$B44</f>
        <v>-2</v>
      </c>
      <c r="CM13" s="50"/>
      <c r="CN13" s="51"/>
      <c r="CP13" s="63"/>
      <c r="CR13" s="198">
        <f>Maintenance!$A44</f>
        <v>2020</v>
      </c>
      <c r="CS13" s="277">
        <f>Maintenance!$B44</f>
        <v>-2</v>
      </c>
      <c r="CT13" s="97"/>
      <c r="CU13" s="51"/>
      <c r="CW13" s="198">
        <f>Maintenance!$A44</f>
        <v>2020</v>
      </c>
      <c r="CX13" s="277">
        <f>Maintenance!$B44</f>
        <v>-2</v>
      </c>
      <c r="CY13" s="50">
        <f t="shared" si="2"/>
        <v>0</v>
      </c>
      <c r="CZ13" s="51">
        <v>0</v>
      </c>
      <c r="DB13" s="198">
        <f>Maintenance!$A44</f>
        <v>2020</v>
      </c>
      <c r="DC13" s="277">
        <f>Maintenance!$B44</f>
        <v>-2</v>
      </c>
      <c r="DD13" s="153"/>
      <c r="DE13" s="51">
        <f t="shared" si="3"/>
        <v>0</v>
      </c>
      <c r="DG13" s="198">
        <f>Maintenance!$A44</f>
        <v>2020</v>
      </c>
      <c r="DH13" s="277">
        <f>Maintenance!$B44</f>
        <v>-2</v>
      </c>
      <c r="DI13" s="277">
        <f>Maintenance!$B44</f>
        <v>-2</v>
      </c>
      <c r="DJ13" s="50"/>
      <c r="DK13" s="51"/>
    </row>
    <row r="14" spans="1:115">
      <c r="A14" s="198">
        <f>Maintenance!$A45</f>
        <v>2021</v>
      </c>
      <c r="B14" s="198">
        <f>Maintenance!$B45</f>
        <v>-1</v>
      </c>
      <c r="C14" s="50"/>
      <c r="D14" s="51"/>
      <c r="F14" s="198">
        <f>Maintenance!$A45</f>
        <v>2021</v>
      </c>
      <c r="G14" s="193">
        <f>Maintenance!$B45</f>
        <v>-1</v>
      </c>
      <c r="H14" s="50"/>
      <c r="I14" s="51"/>
      <c r="K14" s="198">
        <f>Maintenance!$A45</f>
        <v>2021</v>
      </c>
      <c r="L14" s="195">
        <f>Maintenance!$B45</f>
        <v>-1</v>
      </c>
      <c r="M14" s="195">
        <f>Maintenance!$B45</f>
        <v>-1</v>
      </c>
      <c r="N14" s="50"/>
      <c r="O14" s="51"/>
      <c r="Q14" s="63"/>
      <c r="S14" s="198">
        <f>Maintenance!$A45</f>
        <v>2021</v>
      </c>
      <c r="T14" s="160">
        <f>Maintenance!$B45</f>
        <v>-1</v>
      </c>
      <c r="U14" s="50"/>
      <c r="V14" s="51"/>
      <c r="X14" s="198">
        <f>Maintenance!$A45</f>
        <v>2021</v>
      </c>
      <c r="Y14" s="195">
        <f>Maintenance!$B45</f>
        <v>-1</v>
      </c>
      <c r="Z14" s="50"/>
      <c r="AA14" s="51"/>
      <c r="AC14" s="198">
        <f>Maintenance!$A45</f>
        <v>2021</v>
      </c>
      <c r="AD14" s="70">
        <f>Maintenance!$B45</f>
        <v>-1</v>
      </c>
      <c r="AE14" s="96">
        <f>Maintenance!$B45</f>
        <v>-1</v>
      </c>
      <c r="AF14" s="50"/>
      <c r="AG14" s="51"/>
      <c r="AI14" s="63"/>
      <c r="AK14" s="198">
        <f>Maintenance!$A45</f>
        <v>2021</v>
      </c>
      <c r="AL14" s="160">
        <f>Maintenance!$B45</f>
        <v>-1</v>
      </c>
      <c r="AM14" s="50"/>
      <c r="AN14" s="51"/>
      <c r="AP14" s="198">
        <f>Maintenance!$A45</f>
        <v>2021</v>
      </c>
      <c r="AQ14" s="18">
        <f>Maintenance!$B45</f>
        <v>-1</v>
      </c>
      <c r="AR14" s="50"/>
      <c r="AS14" s="51"/>
      <c r="AU14" s="198">
        <f>Maintenance!$A45</f>
        <v>2021</v>
      </c>
      <c r="AV14" s="201">
        <f>Maintenance!$B45</f>
        <v>-1</v>
      </c>
      <c r="AW14" s="160">
        <f>Maintenance!$B45</f>
        <v>-1</v>
      </c>
      <c r="AX14" s="50"/>
      <c r="AY14" s="51"/>
      <c r="BA14" s="63"/>
      <c r="BC14" s="198">
        <f>Maintenance!$A45</f>
        <v>2021</v>
      </c>
      <c r="BD14" s="201">
        <f>Maintenance!$B45</f>
        <v>-1</v>
      </c>
      <c r="BE14" s="50"/>
      <c r="BF14" s="51"/>
      <c r="BH14" s="198">
        <f>Maintenance!$A45</f>
        <v>2021</v>
      </c>
      <c r="BI14" s="201">
        <f>Maintenance!$B45</f>
        <v>-1</v>
      </c>
      <c r="BJ14" s="50"/>
      <c r="BK14" s="51"/>
      <c r="BM14" s="198">
        <f>Maintenance!$A45</f>
        <v>2021</v>
      </c>
      <c r="BN14" s="201">
        <f>Maintenance!$B45</f>
        <v>-1</v>
      </c>
      <c r="BO14" s="277">
        <f>Maintenance!$B45</f>
        <v>-1</v>
      </c>
      <c r="BP14" s="50"/>
      <c r="BQ14" s="51"/>
      <c r="BS14" s="63"/>
      <c r="BU14" s="198">
        <f>Maintenance!$A45</f>
        <v>2021</v>
      </c>
      <c r="BV14" s="201">
        <f>Maintenance!$B45</f>
        <v>-1</v>
      </c>
      <c r="BW14" s="97"/>
      <c r="BX14" s="51"/>
      <c r="BZ14" s="198">
        <f>Maintenance!$A45</f>
        <v>2021</v>
      </c>
      <c r="CA14" s="201">
        <f>Maintenance!$B45</f>
        <v>-1</v>
      </c>
      <c r="CB14" s="50">
        <f t="shared" si="0"/>
        <v>0</v>
      </c>
      <c r="CC14" s="51">
        <v>0</v>
      </c>
      <c r="CE14" s="198">
        <f>Maintenance!$A45</f>
        <v>2021</v>
      </c>
      <c r="CF14" s="201">
        <f>Maintenance!$B45</f>
        <v>-1</v>
      </c>
      <c r="CG14" s="153"/>
      <c r="CH14" s="51">
        <f t="shared" si="1"/>
        <v>0</v>
      </c>
      <c r="CJ14" s="198">
        <f>Maintenance!$A45</f>
        <v>2021</v>
      </c>
      <c r="CK14" s="201">
        <f>Maintenance!$B45</f>
        <v>-1</v>
      </c>
      <c r="CL14" s="277">
        <f>Maintenance!$B45</f>
        <v>-1</v>
      </c>
      <c r="CM14" s="50"/>
      <c r="CN14" s="51"/>
      <c r="CP14" s="63"/>
      <c r="CR14" s="198">
        <f>Maintenance!$A45</f>
        <v>2021</v>
      </c>
      <c r="CS14" s="277">
        <f>Maintenance!$B45</f>
        <v>-1</v>
      </c>
      <c r="CT14" s="97"/>
      <c r="CU14" s="51"/>
      <c r="CW14" s="198">
        <f>Maintenance!$A45</f>
        <v>2021</v>
      </c>
      <c r="CX14" s="277">
        <f>Maintenance!$B45</f>
        <v>-1</v>
      </c>
      <c r="CY14" s="50">
        <f t="shared" si="2"/>
        <v>0</v>
      </c>
      <c r="CZ14" s="51">
        <v>0</v>
      </c>
      <c r="DB14" s="198">
        <f>Maintenance!$A45</f>
        <v>2021</v>
      </c>
      <c r="DC14" s="277">
        <f>Maintenance!$B45</f>
        <v>-1</v>
      </c>
      <c r="DD14" s="153"/>
      <c r="DE14" s="51">
        <f t="shared" si="3"/>
        <v>0</v>
      </c>
      <c r="DG14" s="198">
        <f>Maintenance!$A45</f>
        <v>2021</v>
      </c>
      <c r="DH14" s="277">
        <f>Maintenance!$B45</f>
        <v>-1</v>
      </c>
      <c r="DI14" s="277">
        <f>Maintenance!$B45</f>
        <v>-1</v>
      </c>
      <c r="DJ14" s="50"/>
      <c r="DK14" s="51"/>
    </row>
    <row r="15" spans="1:115" ht="15.75" customHeight="1">
      <c r="A15" s="198">
        <f>Maintenance!$A46</f>
        <v>2022</v>
      </c>
      <c r="B15" s="198">
        <f>Maintenance!$B46</f>
        <v>0</v>
      </c>
      <c r="C15" s="220">
        <f>'Vehicle Operating Analysis'!J8</f>
        <v>2822236.94</v>
      </c>
      <c r="D15" s="221">
        <f>'Vehicle Operating Analysis'!J9</f>
        <v>2822236.94</v>
      </c>
      <c r="F15" s="198">
        <f>Maintenance!$A46</f>
        <v>2022</v>
      </c>
      <c r="G15" s="193">
        <f>Maintenance!$B46</f>
        <v>0</v>
      </c>
      <c r="H15" s="50"/>
      <c r="I15" s="51"/>
      <c r="K15" s="198">
        <f>Maintenance!$A46</f>
        <v>2022</v>
      </c>
      <c r="L15" s="195">
        <f>Maintenance!$B46</f>
        <v>0</v>
      </c>
      <c r="M15" s="195">
        <f>Maintenance!$B46</f>
        <v>0</v>
      </c>
      <c r="N15" s="50"/>
      <c r="O15" s="51"/>
      <c r="Q15" s="63"/>
      <c r="S15" s="198">
        <f>Maintenance!$A46</f>
        <v>2022</v>
      </c>
      <c r="T15" s="160">
        <f>Maintenance!$B46</f>
        <v>0</v>
      </c>
      <c r="U15" s="220">
        <f>'Travel Time Analysis'!J8</f>
        <v>5964553.8486252502</v>
      </c>
      <c r="V15" s="221">
        <f>'Travel Time Analysis'!J9</f>
        <v>6273065.2545886254</v>
      </c>
      <c r="X15" s="198">
        <f>Maintenance!$A46</f>
        <v>2022</v>
      </c>
      <c r="Y15" s="195">
        <f>Maintenance!$B46</f>
        <v>0</v>
      </c>
      <c r="Z15" s="50"/>
      <c r="AA15" s="51"/>
      <c r="AC15" s="198">
        <f>Maintenance!$A46</f>
        <v>2022</v>
      </c>
      <c r="AD15" s="70">
        <f>Maintenance!$B46</f>
        <v>0</v>
      </c>
      <c r="AE15" s="96">
        <f>Maintenance!$B46</f>
        <v>0</v>
      </c>
      <c r="AF15" s="50"/>
      <c r="AG15" s="51"/>
      <c r="AI15" s="63"/>
      <c r="AK15" s="198">
        <f>Maintenance!$A46</f>
        <v>2022</v>
      </c>
      <c r="AL15" s="160">
        <f>Maintenance!$B46</f>
        <v>0</v>
      </c>
      <c r="AM15" s="168"/>
      <c r="AN15" s="169"/>
      <c r="AP15" s="198">
        <f>Maintenance!$A46</f>
        <v>2022</v>
      </c>
      <c r="AQ15" s="18">
        <f>Maintenance!$B46</f>
        <v>0</v>
      </c>
      <c r="AR15" s="50"/>
      <c r="AS15" s="51"/>
      <c r="AU15" s="198">
        <f>Maintenance!$A46</f>
        <v>2022</v>
      </c>
      <c r="AV15" s="201">
        <f>Maintenance!$B46</f>
        <v>0</v>
      </c>
      <c r="AW15" s="160">
        <f>Maintenance!$B46</f>
        <v>0</v>
      </c>
      <c r="AX15" s="50"/>
      <c r="AY15" s="51"/>
      <c r="BA15" s="63"/>
      <c r="BC15" s="198">
        <f>Maintenance!$A46</f>
        <v>2022</v>
      </c>
      <c r="BD15" s="201">
        <f>Maintenance!$B46</f>
        <v>0</v>
      </c>
      <c r="BE15" s="220">
        <f>'Environmental Analysis'!J8</f>
        <v>471400.12799999991</v>
      </c>
      <c r="BF15" s="221">
        <f>'Environmental Analysis'!J9</f>
        <v>471400.12799999991</v>
      </c>
      <c r="BH15" s="198">
        <f>Maintenance!$A46</f>
        <v>2022</v>
      </c>
      <c r="BI15" s="201">
        <f>Maintenance!$B46</f>
        <v>0</v>
      </c>
      <c r="BJ15" s="50"/>
      <c r="BK15" s="51"/>
      <c r="BM15" s="198">
        <f>Maintenance!$A46</f>
        <v>2022</v>
      </c>
      <c r="BN15" s="201">
        <f>Maintenance!$B46</f>
        <v>0</v>
      </c>
      <c r="BO15" s="277">
        <f>Maintenance!$B46</f>
        <v>0</v>
      </c>
      <c r="BP15" s="50"/>
      <c r="BQ15" s="51"/>
      <c r="BS15" s="63"/>
      <c r="BU15" s="198">
        <f>Maintenance!$A46</f>
        <v>2022</v>
      </c>
      <c r="BV15" s="201">
        <f>Maintenance!$B46</f>
        <v>0</v>
      </c>
      <c r="BW15" s="97"/>
      <c r="BX15" s="81"/>
      <c r="BZ15" s="198">
        <f>Maintenance!$A46</f>
        <v>2022</v>
      </c>
      <c r="CA15" s="201">
        <f>Maintenance!$B46</f>
        <v>0</v>
      </c>
      <c r="CB15" s="50">
        <f t="shared" si="0"/>
        <v>0</v>
      </c>
      <c r="CC15" s="51">
        <v>0</v>
      </c>
      <c r="CE15" s="198">
        <f>Maintenance!$A46</f>
        <v>2022</v>
      </c>
      <c r="CF15" s="201">
        <f>Maintenance!$B46</f>
        <v>0</v>
      </c>
      <c r="CG15" s="153"/>
      <c r="CH15" s="51">
        <f t="shared" si="1"/>
        <v>0</v>
      </c>
      <c r="CJ15" s="198">
        <f>Maintenance!$A46</f>
        <v>2022</v>
      </c>
      <c r="CK15" s="201">
        <f>Maintenance!$B46</f>
        <v>0</v>
      </c>
      <c r="CL15" s="277">
        <f>Maintenance!$B46</f>
        <v>0</v>
      </c>
      <c r="CM15" s="50"/>
      <c r="CN15" s="51">
        <f t="shared" ref="CN15:CN36" si="4">CH15*(1+CJ$5)^-CL15</f>
        <v>0</v>
      </c>
      <c r="CP15" s="63"/>
      <c r="CR15" s="198">
        <f>Maintenance!$A46</f>
        <v>2022</v>
      </c>
      <c r="CS15" s="277">
        <f>Maintenance!$B46</f>
        <v>0</v>
      </c>
      <c r="CT15" s="97"/>
      <c r="CU15" s="81"/>
      <c r="CW15" s="198">
        <f>Maintenance!$A46</f>
        <v>2022</v>
      </c>
      <c r="CX15" s="277">
        <f>Maintenance!$B46</f>
        <v>0</v>
      </c>
      <c r="CY15" s="50">
        <f t="shared" si="2"/>
        <v>0</v>
      </c>
      <c r="CZ15" s="51">
        <v>0</v>
      </c>
      <c r="DB15" s="198">
        <f>Maintenance!$A46</f>
        <v>2022</v>
      </c>
      <c r="DC15" s="277">
        <f>Maintenance!$B46</f>
        <v>0</v>
      </c>
      <c r="DD15" s="153"/>
      <c r="DE15" s="51">
        <f t="shared" si="3"/>
        <v>0</v>
      </c>
      <c r="DG15" s="198">
        <f>Maintenance!$A46</f>
        <v>2022</v>
      </c>
      <c r="DH15" s="277">
        <f>Maintenance!$B46</f>
        <v>0</v>
      </c>
      <c r="DI15" s="277">
        <f>Maintenance!$B46</f>
        <v>0</v>
      </c>
      <c r="DJ15" s="50"/>
      <c r="DK15" s="51">
        <f t="shared" ref="DK15:DK36" si="5">DE15*(1+DG$5)^-DI15</f>
        <v>0</v>
      </c>
    </row>
    <row r="16" spans="1:115" ht="15.75" customHeight="1">
      <c r="A16" s="198">
        <f>Maintenance!$A47</f>
        <v>2023</v>
      </c>
      <c r="B16" s="198">
        <f>Maintenance!$B47</f>
        <v>1</v>
      </c>
      <c r="C16" s="50"/>
      <c r="D16" s="51"/>
      <c r="F16" s="198">
        <f>Maintenance!$A47</f>
        <v>2023</v>
      </c>
      <c r="G16" s="193">
        <f>Maintenance!$B47</f>
        <v>1</v>
      </c>
      <c r="H16" s="50"/>
      <c r="I16" s="51"/>
      <c r="K16" s="198">
        <f>Maintenance!$A47</f>
        <v>2023</v>
      </c>
      <c r="L16" s="195">
        <f>Maintenance!$B47</f>
        <v>1</v>
      </c>
      <c r="M16" s="195">
        <f>Maintenance!$B47</f>
        <v>1</v>
      </c>
      <c r="N16" s="50"/>
      <c r="O16" s="51"/>
      <c r="Q16" s="63"/>
      <c r="S16" s="198">
        <f>Maintenance!$A47</f>
        <v>2023</v>
      </c>
      <c r="T16" s="160">
        <f>Maintenance!$B47</f>
        <v>1</v>
      </c>
      <c r="U16" s="50"/>
      <c r="V16" s="51"/>
      <c r="X16" s="198">
        <f>Maintenance!$A47</f>
        <v>2023</v>
      </c>
      <c r="Y16" s="195">
        <f>Maintenance!$B47</f>
        <v>1</v>
      </c>
      <c r="Z16" s="50"/>
      <c r="AA16" s="51"/>
      <c r="AC16" s="198">
        <f>Maintenance!$A47</f>
        <v>2023</v>
      </c>
      <c r="AD16" s="70">
        <f>Maintenance!$B47</f>
        <v>1</v>
      </c>
      <c r="AE16" s="96">
        <f>Maintenance!$B47</f>
        <v>1</v>
      </c>
      <c r="AF16" s="50"/>
      <c r="AG16" s="51"/>
      <c r="AI16" s="63"/>
      <c r="AK16" s="198">
        <f>Maintenance!$A47</f>
        <v>2023</v>
      </c>
      <c r="AL16" s="160">
        <f>Maintenance!$B47</f>
        <v>1</v>
      </c>
      <c r="AM16" s="50"/>
      <c r="AN16" s="51"/>
      <c r="AP16" s="198">
        <f>Maintenance!$A47</f>
        <v>2023</v>
      </c>
      <c r="AQ16" s="18">
        <f>Maintenance!$B47</f>
        <v>1</v>
      </c>
      <c r="AR16" s="50"/>
      <c r="AS16" s="51"/>
      <c r="AU16" s="198">
        <f>Maintenance!$A47</f>
        <v>2023</v>
      </c>
      <c r="AV16" s="201">
        <f>Maintenance!$B47</f>
        <v>1</v>
      </c>
      <c r="AW16" s="160">
        <f>Maintenance!$B47</f>
        <v>1</v>
      </c>
      <c r="AX16" s="50"/>
      <c r="AY16" s="51"/>
      <c r="BA16" s="63"/>
      <c r="BC16" s="198">
        <f>Maintenance!$A47</f>
        <v>2023</v>
      </c>
      <c r="BD16" s="201">
        <f>Maintenance!$B47</f>
        <v>1</v>
      </c>
      <c r="BE16" s="50"/>
      <c r="BF16" s="51"/>
      <c r="BH16" s="198">
        <f>Maintenance!$A47</f>
        <v>2023</v>
      </c>
      <c r="BI16" s="201">
        <f>Maintenance!$B47</f>
        <v>1</v>
      </c>
      <c r="BJ16" s="50"/>
      <c r="BK16" s="51"/>
      <c r="BM16" s="198">
        <f>Maintenance!$A47</f>
        <v>2023</v>
      </c>
      <c r="BN16" s="201">
        <f>Maintenance!$B47</f>
        <v>1</v>
      </c>
      <c r="BO16" s="277">
        <f>Maintenance!$B47</f>
        <v>1</v>
      </c>
      <c r="BP16" s="50"/>
      <c r="BQ16" s="51"/>
      <c r="BS16" s="63"/>
      <c r="BU16" s="198">
        <f>Maintenance!$A47</f>
        <v>2023</v>
      </c>
      <c r="BV16" s="201">
        <f>Maintenance!$B47</f>
        <v>1</v>
      </c>
      <c r="BW16" s="13" t="str">
        <f>Maintenance!C47</f>
        <v>Mill and Overlay, Storm Sewer and Sidewalk Repairs</v>
      </c>
      <c r="BX16" s="81">
        <f>Maintenance!F47</f>
        <v>2816423</v>
      </c>
      <c r="BZ16" s="198">
        <f>Maintenance!$A47</f>
        <v>2023</v>
      </c>
      <c r="CA16" s="201">
        <f>Maintenance!$B47</f>
        <v>1</v>
      </c>
      <c r="CB16" s="50">
        <f t="shared" si="0"/>
        <v>2816423</v>
      </c>
      <c r="CC16" s="51">
        <v>0</v>
      </c>
      <c r="CE16" s="198">
        <f>Maintenance!$A47</f>
        <v>2023</v>
      </c>
      <c r="CF16" s="201">
        <f>Maintenance!$B47</f>
        <v>1</v>
      </c>
      <c r="CG16" s="153"/>
      <c r="CH16" s="51">
        <f t="shared" si="1"/>
        <v>2816423</v>
      </c>
      <c r="CJ16" s="198">
        <f>Maintenance!$A47</f>
        <v>2023</v>
      </c>
      <c r="CK16" s="201">
        <f>Maintenance!$B47</f>
        <v>1</v>
      </c>
      <c r="CL16" s="277">
        <f>Maintenance!$B47</f>
        <v>1</v>
      </c>
      <c r="CM16" s="50"/>
      <c r="CN16" s="51">
        <f t="shared" si="4"/>
        <v>2632171.0280373832</v>
      </c>
      <c r="CP16" s="63"/>
      <c r="CR16" s="198">
        <f>Maintenance!$A47</f>
        <v>2023</v>
      </c>
      <c r="CS16" s="277">
        <f>Maintenance!$B47</f>
        <v>1</v>
      </c>
      <c r="CT16" s="13">
        <f>Maintenance!AF48</f>
        <v>0</v>
      </c>
      <c r="CU16" s="81">
        <f>Maintenance!AI48</f>
        <v>0</v>
      </c>
      <c r="CW16" s="198">
        <f>Maintenance!$A47</f>
        <v>2023</v>
      </c>
      <c r="CX16" s="277">
        <f>Maintenance!$B47</f>
        <v>1</v>
      </c>
      <c r="CY16" s="50">
        <f t="shared" si="2"/>
        <v>0</v>
      </c>
      <c r="CZ16" s="51">
        <v>0</v>
      </c>
      <c r="DB16" s="198">
        <f>Maintenance!$A47</f>
        <v>2023</v>
      </c>
      <c r="DC16" s="277">
        <f>Maintenance!$B47</f>
        <v>1</v>
      </c>
      <c r="DD16" s="153"/>
      <c r="DE16" s="51">
        <f t="shared" si="3"/>
        <v>0</v>
      </c>
      <c r="DG16" s="198">
        <f>Maintenance!$A47</f>
        <v>2023</v>
      </c>
      <c r="DH16" s="277">
        <f>Maintenance!$B47</f>
        <v>1</v>
      </c>
      <c r="DI16" s="277">
        <f>Maintenance!$B47</f>
        <v>1</v>
      </c>
      <c r="DJ16" s="50"/>
      <c r="DK16" s="51">
        <f t="shared" si="5"/>
        <v>0</v>
      </c>
    </row>
    <row r="17" spans="1:115" ht="15.75" customHeight="1">
      <c r="A17" s="198">
        <f>Maintenance!$A48</f>
        <v>2024</v>
      </c>
      <c r="B17" s="198">
        <f>Maintenance!$B48</f>
        <v>2</v>
      </c>
      <c r="C17" s="50">
        <f>C$15+(C$35-C$15)*(B17/20)</f>
        <v>2871137.085</v>
      </c>
      <c r="D17" s="51">
        <f>D$15+(D$35-D$15)*(B17/20)</f>
        <v>2871137.085</v>
      </c>
      <c r="F17" s="198">
        <f>Maintenance!$A48</f>
        <v>2024</v>
      </c>
      <c r="G17" s="193">
        <f>Maintenance!$B48</f>
        <v>2</v>
      </c>
      <c r="H17" s="50"/>
      <c r="I17" s="51">
        <f t="shared" ref="I17:I31" si="6">C17-D17</f>
        <v>0</v>
      </c>
      <c r="K17" s="198">
        <f>Maintenance!$A48</f>
        <v>2024</v>
      </c>
      <c r="L17" s="195">
        <f>Maintenance!$B48</f>
        <v>2</v>
      </c>
      <c r="M17" s="195">
        <f>Maintenance!$B48</f>
        <v>2</v>
      </c>
      <c r="N17" s="50"/>
      <c r="O17" s="51">
        <f t="shared" ref="O17:O36" si="7">I17*(1+K$5)^-M17</f>
        <v>0</v>
      </c>
      <c r="Q17" s="63"/>
      <c r="S17" s="198">
        <f>Maintenance!$A48</f>
        <v>2024</v>
      </c>
      <c r="T17" s="160">
        <f>Maintenance!$B48</f>
        <v>2</v>
      </c>
      <c r="U17" s="50">
        <f>U$15+(U$35-U$15)*(T17/20)</f>
        <v>6079965.6237603938</v>
      </c>
      <c r="V17" s="51">
        <f>V$15+(V$35-V$15)*(T17/20)</f>
        <v>6405888.0694662565</v>
      </c>
      <c r="X17" s="198">
        <f>Maintenance!$A48</f>
        <v>2024</v>
      </c>
      <c r="Y17" s="195">
        <f>Maintenance!$B48</f>
        <v>2</v>
      </c>
      <c r="Z17" s="50"/>
      <c r="AA17" s="51">
        <f>U17-V17</f>
        <v>-325922.44570586272</v>
      </c>
      <c r="AC17" s="198">
        <f>Maintenance!$A48</f>
        <v>2024</v>
      </c>
      <c r="AD17" s="70">
        <f>Maintenance!$B48</f>
        <v>2</v>
      </c>
      <c r="AE17" s="96">
        <f>Maintenance!$B48</f>
        <v>2</v>
      </c>
      <c r="AF17" s="50"/>
      <c r="AG17" s="51">
        <f t="shared" ref="AG17:AG36" si="8">AA17*(1+AC$5)^-AE17</f>
        <v>-284673.28649302357</v>
      </c>
      <c r="AI17" s="63"/>
      <c r="AK17" s="198">
        <f>Maintenance!$A48</f>
        <v>2024</v>
      </c>
      <c r="AL17" s="160">
        <f>Maintenance!$B48</f>
        <v>2</v>
      </c>
      <c r="AM17" s="50">
        <f>AM$13+(AM$33-AM$13)*(AL17/20)</f>
        <v>1642153.3450829284</v>
      </c>
      <c r="AN17" s="51">
        <f>AN$13+(AN$33-AN$13)*(AL17/20)</f>
        <v>935946.56185454351</v>
      </c>
      <c r="AP17" s="198">
        <f>Maintenance!$A48</f>
        <v>2024</v>
      </c>
      <c r="AQ17" s="18">
        <f>Maintenance!$B48</f>
        <v>2</v>
      </c>
      <c r="AR17" s="50"/>
      <c r="AS17" s="51">
        <f>AM17-AN17</f>
        <v>706206.78322838491</v>
      </c>
      <c r="AU17" s="198">
        <f>Maintenance!$A48</f>
        <v>2024</v>
      </c>
      <c r="AV17" s="201">
        <f>Maintenance!$B48</f>
        <v>2</v>
      </c>
      <c r="AW17" s="160">
        <f>Maintenance!$B48</f>
        <v>2</v>
      </c>
      <c r="AX17" s="50"/>
      <c r="AY17" s="51">
        <f t="shared" ref="AY17:AY36" si="9">AS17*(1+AU$5)^-AW17</f>
        <v>616828.35464091611</v>
      </c>
      <c r="BA17" s="63"/>
      <c r="BC17" s="198">
        <f>Maintenance!$A48</f>
        <v>2024</v>
      </c>
      <c r="BD17" s="201">
        <f>Maintenance!$B48</f>
        <v>2</v>
      </c>
      <c r="BE17" s="50">
        <f>BE$15+(BE$35-BE$15)*(BD17/20)</f>
        <v>479567.95199999993</v>
      </c>
      <c r="BF17" s="51">
        <f>BF$15+(BF$35-BF$15)*(BD17/20)</f>
        <v>479567.95199999993</v>
      </c>
      <c r="BH17" s="198">
        <f>Maintenance!$A48</f>
        <v>2024</v>
      </c>
      <c r="BI17" s="201">
        <f>Maintenance!$B48</f>
        <v>2</v>
      </c>
      <c r="BJ17" s="50"/>
      <c r="BK17" s="51">
        <f t="shared" ref="BK17:BK34" si="10">BE17-BF17</f>
        <v>0</v>
      </c>
      <c r="BM17" s="198">
        <f>Maintenance!$A48</f>
        <v>2024</v>
      </c>
      <c r="BN17" s="201">
        <f>Maintenance!$B48</f>
        <v>2</v>
      </c>
      <c r="BO17" s="277">
        <f>Maintenance!$B48</f>
        <v>2</v>
      </c>
      <c r="BP17" s="50"/>
      <c r="BQ17" s="51">
        <f t="shared" ref="BQ17:BQ36" si="11">BK17*(1+BM$5)^-BO17</f>
        <v>0</v>
      </c>
      <c r="BS17" s="63"/>
      <c r="BU17" s="198">
        <f>Maintenance!$A48</f>
        <v>2024</v>
      </c>
      <c r="BV17" s="201">
        <f>Maintenance!$B48</f>
        <v>2</v>
      </c>
      <c r="BW17" s="4"/>
      <c r="BX17" s="81">
        <f>Maintenance!F48</f>
        <v>0</v>
      </c>
      <c r="BZ17" s="198">
        <f>Maintenance!$A48</f>
        <v>2024</v>
      </c>
      <c r="CA17" s="201">
        <f>Maintenance!$B48</f>
        <v>2</v>
      </c>
      <c r="CB17" s="50">
        <f t="shared" ref="CB17:CB34" si="12">BX17</f>
        <v>0</v>
      </c>
      <c r="CC17" s="51">
        <v>0</v>
      </c>
      <c r="CE17" s="198">
        <f>Maintenance!$A48</f>
        <v>2024</v>
      </c>
      <c r="CF17" s="201">
        <f>Maintenance!$B48</f>
        <v>2</v>
      </c>
      <c r="CG17" s="153"/>
      <c r="CH17" s="51">
        <f t="shared" si="1"/>
        <v>0</v>
      </c>
      <c r="CJ17" s="198">
        <f>Maintenance!$A48</f>
        <v>2024</v>
      </c>
      <c r="CK17" s="201">
        <f>Maintenance!$B48</f>
        <v>2</v>
      </c>
      <c r="CL17" s="277">
        <f>Maintenance!$B48</f>
        <v>2</v>
      </c>
      <c r="CM17" s="50"/>
      <c r="CN17" s="51">
        <f t="shared" si="4"/>
        <v>0</v>
      </c>
      <c r="CP17" s="63"/>
      <c r="CR17" s="198">
        <f>Maintenance!$A48</f>
        <v>2024</v>
      </c>
      <c r="CS17" s="277">
        <f>Maintenance!$B48</f>
        <v>2</v>
      </c>
      <c r="CT17" s="13"/>
      <c r="CU17" s="81"/>
      <c r="CV17">
        <v>1</v>
      </c>
      <c r="CW17" s="198">
        <f>Maintenance!$A48</f>
        <v>2024</v>
      </c>
      <c r="CX17" s="277">
        <f>Maintenance!$B48</f>
        <v>2</v>
      </c>
      <c r="CY17" s="50">
        <f>CU17</f>
        <v>0</v>
      </c>
      <c r="CZ17" s="51">
        <v>0</v>
      </c>
      <c r="DB17" s="198">
        <f>Maintenance!$A48</f>
        <v>2024</v>
      </c>
      <c r="DC17" s="277">
        <f>Maintenance!$B48</f>
        <v>2</v>
      </c>
      <c r="DD17" s="153"/>
      <c r="DE17" s="51">
        <f t="shared" si="3"/>
        <v>0</v>
      </c>
      <c r="DG17" s="198">
        <f>Maintenance!$A48</f>
        <v>2024</v>
      </c>
      <c r="DH17" s="277">
        <f>Maintenance!$B48</f>
        <v>2</v>
      </c>
      <c r="DI17" s="277">
        <f>Maintenance!$B48</f>
        <v>2</v>
      </c>
      <c r="DJ17" s="50"/>
      <c r="DK17" s="51">
        <f t="shared" si="5"/>
        <v>0</v>
      </c>
    </row>
    <row r="18" spans="1:115" ht="15.75" customHeight="1">
      <c r="A18" s="198">
        <f>Maintenance!$A49</f>
        <v>2025</v>
      </c>
      <c r="B18" s="198">
        <f>Maintenance!$B49</f>
        <v>3</v>
      </c>
      <c r="C18" s="50">
        <f t="shared" ref="C18:C34" si="13">C$15+(C$35-C$15)*(B18/20)</f>
        <v>2895587.1574999997</v>
      </c>
      <c r="D18" s="51">
        <f t="shared" ref="D18:D34" si="14">D$15+(D$35-D$15)*(B18/20)</f>
        <v>2895587.1574999997</v>
      </c>
      <c r="F18" s="198">
        <f>Maintenance!$A49</f>
        <v>2025</v>
      </c>
      <c r="G18" s="193">
        <f>Maintenance!$B49</f>
        <v>3</v>
      </c>
      <c r="H18" s="50"/>
      <c r="I18" s="51">
        <f t="shared" si="6"/>
        <v>0</v>
      </c>
      <c r="K18" s="198">
        <f>Maintenance!$A49</f>
        <v>2025</v>
      </c>
      <c r="L18" s="195">
        <f>Maintenance!$B49</f>
        <v>3</v>
      </c>
      <c r="M18" s="195">
        <f>Maintenance!$B49</f>
        <v>3</v>
      </c>
      <c r="N18" s="50"/>
      <c r="O18" s="51">
        <f t="shared" si="7"/>
        <v>0</v>
      </c>
      <c r="Q18" s="63"/>
      <c r="S18" s="198">
        <f>Maintenance!$A49</f>
        <v>2025</v>
      </c>
      <c r="T18" s="160">
        <f>Maintenance!$B49</f>
        <v>3</v>
      </c>
      <c r="U18" s="50">
        <f t="shared" ref="U18:U34" si="15">U$15+(U$35-U$15)*(T18/20)</f>
        <v>6137671.5113279661</v>
      </c>
      <c r="V18" s="51">
        <f t="shared" ref="V18:V34" si="16">V$15+(V$35-V$15)*(T18/20)</f>
        <v>6472299.4769050721</v>
      </c>
      <c r="X18" s="198">
        <f>Maintenance!$A49</f>
        <v>2025</v>
      </c>
      <c r="Y18" s="195">
        <f>Maintenance!$B49</f>
        <v>3</v>
      </c>
      <c r="Z18" s="50"/>
      <c r="AA18" s="51">
        <f t="shared" ref="AA18:AA34" si="17">U18-V18</f>
        <v>-334627.96557710599</v>
      </c>
      <c r="AC18" s="198">
        <f>Maintenance!$A49</f>
        <v>2025</v>
      </c>
      <c r="AD18" s="70">
        <f>Maintenance!$B49</f>
        <v>3</v>
      </c>
      <c r="AE18" s="96">
        <f>Maintenance!$B49</f>
        <v>3</v>
      </c>
      <c r="AF18" s="50"/>
      <c r="AG18" s="51">
        <f t="shared" si="8"/>
        <v>-273156.09784889669</v>
      </c>
      <c r="AI18" s="63"/>
      <c r="AK18" s="198">
        <f>Maintenance!$A49</f>
        <v>2025</v>
      </c>
      <c r="AL18" s="160">
        <f>Maintenance!$B49</f>
        <v>3</v>
      </c>
      <c r="AM18" s="50">
        <f t="shared" ref="AM18:AM35" si="18">AM$13+(AM$33-AM$13)*(AL18/20)</f>
        <v>1644640.0176243926</v>
      </c>
      <c r="AN18" s="51">
        <f t="shared" ref="AN18:AN32" si="19">AN$13+(AN$33-AN$13)*(AL18/20)</f>
        <v>937363.84278181521</v>
      </c>
      <c r="AP18" s="198">
        <f>Maintenance!$A49</f>
        <v>2025</v>
      </c>
      <c r="AQ18" s="18">
        <f>Maintenance!$B49</f>
        <v>3</v>
      </c>
      <c r="AR18" s="50"/>
      <c r="AS18" s="51">
        <f t="shared" ref="AS18:AS34" si="20">AM18-AN18</f>
        <v>707276.17484257743</v>
      </c>
      <c r="AU18" s="198">
        <f>Maintenance!$A49</f>
        <v>2025</v>
      </c>
      <c r="AV18" s="201">
        <f>Maintenance!$B49</f>
        <v>3</v>
      </c>
      <c r="AW18" s="160">
        <f>Maintenance!$B49</f>
        <v>3</v>
      </c>
      <c r="AX18" s="50"/>
      <c r="AY18" s="51">
        <f t="shared" si="9"/>
        <v>577348.0398994789</v>
      </c>
      <c r="BA18" s="63"/>
      <c r="BC18" s="198">
        <f>Maintenance!$A49</f>
        <v>2025</v>
      </c>
      <c r="BD18" s="201">
        <f>Maintenance!$B49</f>
        <v>3</v>
      </c>
      <c r="BE18" s="50">
        <f t="shared" ref="BE18:BE34" si="21">BE$15+(BE$35-BE$15)*(BD18/20)</f>
        <v>483651.86399999994</v>
      </c>
      <c r="BF18" s="51">
        <f t="shared" ref="BF18:BF34" si="22">BF$15+(BF$35-BF$15)*(BD18/20)</f>
        <v>483651.86399999994</v>
      </c>
      <c r="BH18" s="198">
        <f>Maintenance!$A49</f>
        <v>2025</v>
      </c>
      <c r="BI18" s="201">
        <f>Maintenance!$B49</f>
        <v>3</v>
      </c>
      <c r="BJ18" s="50"/>
      <c r="BK18" s="51">
        <f t="shared" si="10"/>
        <v>0</v>
      </c>
      <c r="BM18" s="198">
        <f>Maintenance!$A49</f>
        <v>2025</v>
      </c>
      <c r="BN18" s="201">
        <f>Maintenance!$B49</f>
        <v>3</v>
      </c>
      <c r="BO18" s="277">
        <f>Maintenance!$B49</f>
        <v>3</v>
      </c>
      <c r="BP18" s="50"/>
      <c r="BQ18" s="51">
        <f t="shared" si="11"/>
        <v>0</v>
      </c>
      <c r="BS18" s="63"/>
      <c r="BU18" s="198">
        <f>Maintenance!$A49</f>
        <v>2025</v>
      </c>
      <c r="BV18" s="201">
        <f>Maintenance!$B49</f>
        <v>3</v>
      </c>
      <c r="BW18" s="13"/>
      <c r="BX18" s="81">
        <f>Maintenance!F49</f>
        <v>0</v>
      </c>
      <c r="BZ18" s="198">
        <f>Maintenance!$A49</f>
        <v>2025</v>
      </c>
      <c r="CA18" s="201">
        <f>Maintenance!$B49</f>
        <v>3</v>
      </c>
      <c r="CB18" s="50">
        <f t="shared" si="12"/>
        <v>0</v>
      </c>
      <c r="CC18" s="51">
        <v>0</v>
      </c>
      <c r="CE18" s="198">
        <f>Maintenance!$A49</f>
        <v>2025</v>
      </c>
      <c r="CF18" s="201">
        <f>Maintenance!$B49</f>
        <v>3</v>
      </c>
      <c r="CG18" s="153"/>
      <c r="CH18" s="51">
        <f t="shared" ref="CH18:CH34" si="23">CB18-CC18</f>
        <v>0</v>
      </c>
      <c r="CJ18" s="198">
        <f>Maintenance!$A49</f>
        <v>2025</v>
      </c>
      <c r="CK18" s="201">
        <f>Maintenance!$B49</f>
        <v>3</v>
      </c>
      <c r="CL18" s="277">
        <f>Maintenance!$B49</f>
        <v>3</v>
      </c>
      <c r="CM18" s="50"/>
      <c r="CN18" s="51">
        <f t="shared" si="4"/>
        <v>0</v>
      </c>
      <c r="CP18" s="63"/>
      <c r="CR18" s="198">
        <f>Maintenance!$A49</f>
        <v>2025</v>
      </c>
      <c r="CS18" s="277">
        <f>Maintenance!$B49</f>
        <v>3</v>
      </c>
      <c r="CT18" s="13"/>
      <c r="CU18" s="81"/>
      <c r="CV18">
        <v>2</v>
      </c>
      <c r="CW18" s="198">
        <f>Maintenance!$A49</f>
        <v>2025</v>
      </c>
      <c r="CX18" s="277">
        <f>Maintenance!$B49</f>
        <v>3</v>
      </c>
      <c r="CY18" s="50">
        <f t="shared" si="2"/>
        <v>0</v>
      </c>
      <c r="CZ18" s="51">
        <v>0</v>
      </c>
      <c r="DB18" s="198">
        <f>Maintenance!$A49</f>
        <v>2025</v>
      </c>
      <c r="DC18" s="277">
        <f>Maintenance!$B49</f>
        <v>3</v>
      </c>
      <c r="DD18" s="153"/>
      <c r="DE18" s="51">
        <f t="shared" si="3"/>
        <v>0</v>
      </c>
      <c r="DG18" s="198">
        <f>Maintenance!$A49</f>
        <v>2025</v>
      </c>
      <c r="DH18" s="277">
        <f>Maintenance!$B49</f>
        <v>3</v>
      </c>
      <c r="DI18" s="277">
        <f>Maintenance!$B49</f>
        <v>3</v>
      </c>
      <c r="DJ18" s="50"/>
      <c r="DK18" s="51">
        <f t="shared" si="5"/>
        <v>0</v>
      </c>
    </row>
    <row r="19" spans="1:115">
      <c r="A19" s="198">
        <f>Maintenance!$A50</f>
        <v>2026</v>
      </c>
      <c r="B19" s="198">
        <f>Maintenance!$B50</f>
        <v>4</v>
      </c>
      <c r="C19" s="50">
        <f t="shared" si="13"/>
        <v>2920037.23</v>
      </c>
      <c r="D19" s="51">
        <f t="shared" si="14"/>
        <v>2920037.23</v>
      </c>
      <c r="F19" s="198">
        <f>Maintenance!$A50</f>
        <v>2026</v>
      </c>
      <c r="G19" s="193">
        <f>Maintenance!$B50</f>
        <v>4</v>
      </c>
      <c r="H19" s="50"/>
      <c r="I19" s="51">
        <f t="shared" si="6"/>
        <v>0</v>
      </c>
      <c r="K19" s="198">
        <f>Maintenance!$A50</f>
        <v>2026</v>
      </c>
      <c r="L19" s="195">
        <f>Maintenance!$B50</f>
        <v>4</v>
      </c>
      <c r="M19" s="195">
        <f>Maintenance!$B50</f>
        <v>4</v>
      </c>
      <c r="N19" s="50"/>
      <c r="O19" s="51">
        <f t="shared" si="7"/>
        <v>0</v>
      </c>
      <c r="Q19" s="63"/>
      <c r="S19" s="198">
        <f>Maintenance!$A50</f>
        <v>2026</v>
      </c>
      <c r="T19" s="160">
        <f>Maintenance!$B50</f>
        <v>4</v>
      </c>
      <c r="U19" s="50">
        <f t="shared" si="15"/>
        <v>6195377.3988955375</v>
      </c>
      <c r="V19" s="51">
        <f t="shared" si="16"/>
        <v>6538710.8843438877</v>
      </c>
      <c r="X19" s="198">
        <f>Maintenance!$A50</f>
        <v>2026</v>
      </c>
      <c r="Y19" s="195">
        <f>Maintenance!$B50</f>
        <v>4</v>
      </c>
      <c r="Z19" s="50"/>
      <c r="AA19" s="51">
        <f t="shared" si="17"/>
        <v>-343333.4854483502</v>
      </c>
      <c r="AC19" s="198">
        <f>Maintenance!$A50</f>
        <v>2026</v>
      </c>
      <c r="AD19" s="70">
        <f>Maintenance!$B50</f>
        <v>4</v>
      </c>
      <c r="AE19" s="96">
        <f>Maintenance!$B50</f>
        <v>4</v>
      </c>
      <c r="AF19" s="50"/>
      <c r="AG19" s="51">
        <f t="shared" si="8"/>
        <v>-261927.47218413503</v>
      </c>
      <c r="AI19" s="63"/>
      <c r="AK19" s="198">
        <f>Maintenance!$A50</f>
        <v>2026</v>
      </c>
      <c r="AL19" s="160">
        <f>Maintenance!$B50</f>
        <v>4</v>
      </c>
      <c r="AM19" s="50">
        <f t="shared" si="18"/>
        <v>1647126.6901658569</v>
      </c>
      <c r="AN19" s="51">
        <f t="shared" si="19"/>
        <v>938781.12370908691</v>
      </c>
      <c r="AP19" s="198">
        <f>Maintenance!$A50</f>
        <v>2026</v>
      </c>
      <c r="AQ19" s="18">
        <f>Maintenance!$B50</f>
        <v>4</v>
      </c>
      <c r="AR19" s="50"/>
      <c r="AS19" s="51">
        <f t="shared" si="20"/>
        <v>708345.56645676994</v>
      </c>
      <c r="AU19" s="198">
        <f>Maintenance!$A50</f>
        <v>2026</v>
      </c>
      <c r="AV19" s="201">
        <f>Maintenance!$B50</f>
        <v>4</v>
      </c>
      <c r="AW19" s="160">
        <f>Maintenance!$B50</f>
        <v>4</v>
      </c>
      <c r="AX19" s="50"/>
      <c r="AY19" s="51">
        <f t="shared" si="9"/>
        <v>540393.44112496183</v>
      </c>
      <c r="BA19" s="63"/>
      <c r="BC19" s="198">
        <f>Maintenance!$A50</f>
        <v>2026</v>
      </c>
      <c r="BD19" s="201">
        <f>Maintenance!$B50</f>
        <v>4</v>
      </c>
      <c r="BE19" s="50">
        <f t="shared" si="21"/>
        <v>487735.77599999995</v>
      </c>
      <c r="BF19" s="51">
        <f t="shared" si="22"/>
        <v>487735.77599999995</v>
      </c>
      <c r="BH19" s="198">
        <f>Maintenance!$A50</f>
        <v>2026</v>
      </c>
      <c r="BI19" s="201">
        <f>Maintenance!$B50</f>
        <v>4</v>
      </c>
      <c r="BJ19" s="50"/>
      <c r="BK19" s="51">
        <f t="shared" si="10"/>
        <v>0</v>
      </c>
      <c r="BM19" s="198">
        <f>Maintenance!$A50</f>
        <v>2026</v>
      </c>
      <c r="BN19" s="201">
        <f>Maintenance!$B50</f>
        <v>4</v>
      </c>
      <c r="BO19" s="277">
        <f>Maintenance!$B50</f>
        <v>4</v>
      </c>
      <c r="BP19" s="50"/>
      <c r="BQ19" s="51">
        <f t="shared" si="11"/>
        <v>0</v>
      </c>
      <c r="BS19" s="63"/>
      <c r="BU19" s="198">
        <f>Maintenance!$A50</f>
        <v>2026</v>
      </c>
      <c r="BV19" s="201">
        <f>Maintenance!$B50</f>
        <v>4</v>
      </c>
      <c r="BW19" s="13"/>
      <c r="BX19" s="81">
        <f>Maintenance!F50</f>
        <v>0</v>
      </c>
      <c r="BZ19" s="198">
        <f>Maintenance!$A50</f>
        <v>2026</v>
      </c>
      <c r="CA19" s="201">
        <f>Maintenance!$B50</f>
        <v>4</v>
      </c>
      <c r="CB19" s="50">
        <f t="shared" si="12"/>
        <v>0</v>
      </c>
      <c r="CC19" s="51">
        <v>0</v>
      </c>
      <c r="CE19" s="198">
        <f>Maintenance!$A50</f>
        <v>2026</v>
      </c>
      <c r="CF19" s="201">
        <f>Maintenance!$B50</f>
        <v>4</v>
      </c>
      <c r="CG19" s="153"/>
      <c r="CH19" s="51">
        <f t="shared" si="23"/>
        <v>0</v>
      </c>
      <c r="CJ19" s="198">
        <f>Maintenance!$A50</f>
        <v>2026</v>
      </c>
      <c r="CK19" s="201">
        <f>Maintenance!$B50</f>
        <v>4</v>
      </c>
      <c r="CL19" s="277">
        <f>Maintenance!$B50</f>
        <v>4</v>
      </c>
      <c r="CM19" s="50"/>
      <c r="CN19" s="51">
        <f t="shared" si="4"/>
        <v>0</v>
      </c>
      <c r="CP19" s="63"/>
      <c r="CR19" s="198">
        <f>Maintenance!$A50</f>
        <v>2026</v>
      </c>
      <c r="CS19" s="277">
        <f>Maintenance!$B50</f>
        <v>4</v>
      </c>
      <c r="CT19" s="13"/>
      <c r="CU19" s="81"/>
      <c r="CV19">
        <v>3</v>
      </c>
      <c r="CW19" s="198">
        <f>Maintenance!$A50</f>
        <v>2026</v>
      </c>
      <c r="CX19" s="277">
        <f>Maintenance!$B50</f>
        <v>4</v>
      </c>
      <c r="CY19" s="50">
        <f>CU19</f>
        <v>0</v>
      </c>
      <c r="CZ19" s="51">
        <v>0</v>
      </c>
      <c r="DB19" s="198">
        <f>Maintenance!$A50</f>
        <v>2026</v>
      </c>
      <c r="DC19" s="277">
        <f>Maintenance!$B50</f>
        <v>4</v>
      </c>
      <c r="DD19" s="153"/>
      <c r="DE19" s="51">
        <f t="shared" si="3"/>
        <v>0</v>
      </c>
      <c r="DG19" s="198">
        <f>Maintenance!$A50</f>
        <v>2026</v>
      </c>
      <c r="DH19" s="277">
        <f>Maintenance!$B50</f>
        <v>4</v>
      </c>
      <c r="DI19" s="277">
        <f>Maintenance!$B50</f>
        <v>4</v>
      </c>
      <c r="DJ19" s="50"/>
      <c r="DK19" s="51">
        <f t="shared" si="5"/>
        <v>0</v>
      </c>
    </row>
    <row r="20" spans="1:115">
      <c r="A20" s="198">
        <f>Maintenance!$A51</f>
        <v>2027</v>
      </c>
      <c r="B20" s="198">
        <f>Maintenance!$B51</f>
        <v>5</v>
      </c>
      <c r="C20" s="50">
        <f t="shared" si="13"/>
        <v>2944487.3024999998</v>
      </c>
      <c r="D20" s="51">
        <f t="shared" si="14"/>
        <v>2944487.3024999998</v>
      </c>
      <c r="F20" s="198">
        <f>Maintenance!$A51</f>
        <v>2027</v>
      </c>
      <c r="G20" s="193">
        <f>Maintenance!$B51</f>
        <v>5</v>
      </c>
      <c r="H20" s="50"/>
      <c r="I20" s="51">
        <f t="shared" si="6"/>
        <v>0</v>
      </c>
      <c r="K20" s="198">
        <f>Maintenance!$A51</f>
        <v>2027</v>
      </c>
      <c r="L20" s="195">
        <f>Maintenance!$B51</f>
        <v>5</v>
      </c>
      <c r="M20" s="195">
        <f>Maintenance!$B51</f>
        <v>5</v>
      </c>
      <c r="N20" s="50"/>
      <c r="O20" s="51">
        <f t="shared" si="7"/>
        <v>0</v>
      </c>
      <c r="Q20" s="63"/>
      <c r="S20" s="198">
        <f>Maintenance!$A51</f>
        <v>2027</v>
      </c>
      <c r="T20" s="160">
        <f>Maintenance!$B51</f>
        <v>5</v>
      </c>
      <c r="U20" s="50">
        <f t="shared" si="15"/>
        <v>6253083.2864631098</v>
      </c>
      <c r="V20" s="51">
        <f t="shared" si="16"/>
        <v>6605122.2917827033</v>
      </c>
      <c r="X20" s="198">
        <f>Maintenance!$A51</f>
        <v>2027</v>
      </c>
      <c r="Y20" s="195">
        <f>Maintenance!$B51</f>
        <v>5</v>
      </c>
      <c r="Z20" s="50"/>
      <c r="AA20" s="51">
        <f t="shared" si="17"/>
        <v>-352039.00531959347</v>
      </c>
      <c r="AC20" s="198">
        <f>Maintenance!$A51</f>
        <v>2027</v>
      </c>
      <c r="AD20" s="70">
        <f>Maintenance!$B51</f>
        <v>5</v>
      </c>
      <c r="AE20" s="96">
        <f>Maintenance!$B51</f>
        <v>5</v>
      </c>
      <c r="AF20" s="50"/>
      <c r="AG20" s="51">
        <f t="shared" si="8"/>
        <v>-250998.94543204777</v>
      </c>
      <c r="AI20" s="63"/>
      <c r="AK20" s="198">
        <f>Maintenance!$A51</f>
        <v>2027</v>
      </c>
      <c r="AL20" s="160">
        <f>Maintenance!$B51</f>
        <v>5</v>
      </c>
      <c r="AM20" s="50">
        <f t="shared" si="18"/>
        <v>1649613.3627073211</v>
      </c>
      <c r="AN20" s="51">
        <f t="shared" si="19"/>
        <v>940198.40463635861</v>
      </c>
      <c r="AP20" s="198">
        <f>Maintenance!$A51</f>
        <v>2027</v>
      </c>
      <c r="AQ20" s="18">
        <f>Maintenance!$B51</f>
        <v>5</v>
      </c>
      <c r="AR20" s="50"/>
      <c r="AS20" s="51">
        <f t="shared" si="20"/>
        <v>709414.95807096246</v>
      </c>
      <c r="AU20" s="198">
        <f>Maintenance!$A51</f>
        <v>2027</v>
      </c>
      <c r="AV20" s="201">
        <f>Maintenance!$B51</f>
        <v>5</v>
      </c>
      <c r="AW20" s="160">
        <f>Maintenance!$B51</f>
        <v>5</v>
      </c>
      <c r="AX20" s="50"/>
      <c r="AY20" s="51">
        <f t="shared" si="9"/>
        <v>505803.06062358234</v>
      </c>
      <c r="BA20" s="63"/>
      <c r="BC20" s="198">
        <f>Maintenance!$A51</f>
        <v>2027</v>
      </c>
      <c r="BD20" s="201">
        <f>Maintenance!$B51</f>
        <v>5</v>
      </c>
      <c r="BE20" s="50">
        <f t="shared" si="21"/>
        <v>491819.68799999997</v>
      </c>
      <c r="BF20" s="51">
        <f t="shared" si="22"/>
        <v>491819.68799999997</v>
      </c>
      <c r="BH20" s="198">
        <f>Maintenance!$A51</f>
        <v>2027</v>
      </c>
      <c r="BI20" s="201">
        <f>Maintenance!$B51</f>
        <v>5</v>
      </c>
      <c r="BJ20" s="50"/>
      <c r="BK20" s="51">
        <f t="shared" si="10"/>
        <v>0</v>
      </c>
      <c r="BM20" s="198">
        <f>Maintenance!$A51</f>
        <v>2027</v>
      </c>
      <c r="BN20" s="201">
        <f>Maintenance!$B51</f>
        <v>5</v>
      </c>
      <c r="BO20" s="277">
        <f>Maintenance!$B51</f>
        <v>5</v>
      </c>
      <c r="BP20" s="50"/>
      <c r="BQ20" s="51">
        <f t="shared" si="11"/>
        <v>0</v>
      </c>
      <c r="BS20" s="63"/>
      <c r="BU20" s="198">
        <f>Maintenance!$A51</f>
        <v>2027</v>
      </c>
      <c r="BV20" s="201">
        <f>Maintenance!$B51</f>
        <v>5</v>
      </c>
      <c r="BW20" s="13"/>
      <c r="BX20" s="81">
        <f>Maintenance!F51</f>
        <v>0</v>
      </c>
      <c r="BZ20" s="198">
        <f>Maintenance!$A51</f>
        <v>2027</v>
      </c>
      <c r="CA20" s="201">
        <f>Maintenance!$B51</f>
        <v>5</v>
      </c>
      <c r="CB20" s="50">
        <f t="shared" si="12"/>
        <v>0</v>
      </c>
      <c r="CC20" s="51">
        <v>0</v>
      </c>
      <c r="CE20" s="198">
        <f>Maintenance!$A51</f>
        <v>2027</v>
      </c>
      <c r="CF20" s="201">
        <f>Maintenance!$B51</f>
        <v>5</v>
      </c>
      <c r="CG20" s="153"/>
      <c r="CH20" s="51">
        <f t="shared" si="23"/>
        <v>0</v>
      </c>
      <c r="CJ20" s="198">
        <f>Maintenance!$A51</f>
        <v>2027</v>
      </c>
      <c r="CK20" s="201">
        <f>Maintenance!$B51</f>
        <v>5</v>
      </c>
      <c r="CL20" s="277">
        <f>Maintenance!$B51</f>
        <v>5</v>
      </c>
      <c r="CM20" s="50"/>
      <c r="CN20" s="51">
        <f t="shared" si="4"/>
        <v>0</v>
      </c>
      <c r="CP20" s="63"/>
      <c r="CR20" s="198">
        <f>Maintenance!$A51</f>
        <v>2027</v>
      </c>
      <c r="CS20" s="277">
        <f>Maintenance!$B51</f>
        <v>5</v>
      </c>
      <c r="CT20" s="13"/>
      <c r="CU20" s="81"/>
      <c r="CV20">
        <v>4</v>
      </c>
      <c r="CW20" s="198">
        <f>Maintenance!$A51</f>
        <v>2027</v>
      </c>
      <c r="CX20" s="277">
        <f>Maintenance!$B51</f>
        <v>5</v>
      </c>
      <c r="CY20" s="50">
        <f t="shared" si="2"/>
        <v>0</v>
      </c>
      <c r="CZ20" s="51">
        <v>0</v>
      </c>
      <c r="DB20" s="198">
        <f>Maintenance!$A51</f>
        <v>2027</v>
      </c>
      <c r="DC20" s="277">
        <f>Maintenance!$B51</f>
        <v>5</v>
      </c>
      <c r="DD20" s="153"/>
      <c r="DE20" s="51">
        <f t="shared" si="3"/>
        <v>0</v>
      </c>
      <c r="DG20" s="198">
        <f>Maintenance!$A51</f>
        <v>2027</v>
      </c>
      <c r="DH20" s="277">
        <f>Maintenance!$B51</f>
        <v>5</v>
      </c>
      <c r="DI20" s="277">
        <f>Maintenance!$B51</f>
        <v>5</v>
      </c>
      <c r="DJ20" s="50"/>
      <c r="DK20" s="51">
        <f t="shared" si="5"/>
        <v>0</v>
      </c>
    </row>
    <row r="21" spans="1:115" ht="15.75" customHeight="1">
      <c r="A21" s="198">
        <f>Maintenance!$A52</f>
        <v>2028</v>
      </c>
      <c r="B21" s="198">
        <f>Maintenance!$B52</f>
        <v>6</v>
      </c>
      <c r="C21" s="50">
        <f t="shared" si="13"/>
        <v>2968937.375</v>
      </c>
      <c r="D21" s="51">
        <f t="shared" si="14"/>
        <v>2968937.375</v>
      </c>
      <c r="F21" s="198">
        <f>Maintenance!$A52</f>
        <v>2028</v>
      </c>
      <c r="G21" s="193">
        <f>Maintenance!$B52</f>
        <v>6</v>
      </c>
      <c r="H21" s="50"/>
      <c r="I21" s="51">
        <f t="shared" si="6"/>
        <v>0</v>
      </c>
      <c r="K21" s="198">
        <f>Maintenance!$A52</f>
        <v>2028</v>
      </c>
      <c r="L21" s="195">
        <f>Maintenance!$B52</f>
        <v>6</v>
      </c>
      <c r="M21" s="195">
        <f>Maintenance!$B52</f>
        <v>6</v>
      </c>
      <c r="N21" s="50"/>
      <c r="O21" s="51">
        <f t="shared" si="7"/>
        <v>0</v>
      </c>
      <c r="Q21" s="63"/>
      <c r="S21" s="198">
        <f>Maintenance!$A52</f>
        <v>2028</v>
      </c>
      <c r="T21" s="160">
        <f>Maintenance!$B52</f>
        <v>6</v>
      </c>
      <c r="U21" s="50">
        <f t="shared" si="15"/>
        <v>6310789.1740306811</v>
      </c>
      <c r="V21" s="51">
        <f t="shared" si="16"/>
        <v>6671533.6992215188</v>
      </c>
      <c r="X21" s="198">
        <f>Maintenance!$A52</f>
        <v>2028</v>
      </c>
      <c r="Y21" s="195">
        <f>Maintenance!$B52</f>
        <v>6</v>
      </c>
      <c r="Z21" s="50"/>
      <c r="AA21" s="51">
        <f t="shared" si="17"/>
        <v>-360744.52519083768</v>
      </c>
      <c r="AC21" s="198">
        <f>Maintenance!$A52</f>
        <v>2028</v>
      </c>
      <c r="AD21" s="70">
        <f>Maintenance!$B52</f>
        <v>6</v>
      </c>
      <c r="AE21" s="96">
        <f>Maintenance!$B52</f>
        <v>6</v>
      </c>
      <c r="AF21" s="50"/>
      <c r="AG21" s="51">
        <f t="shared" si="8"/>
        <v>-240379.30914529471</v>
      </c>
      <c r="AI21" s="63"/>
      <c r="AK21" s="198">
        <f>Maintenance!$A52</f>
        <v>2028</v>
      </c>
      <c r="AL21" s="160">
        <f>Maintenance!$B52</f>
        <v>6</v>
      </c>
      <c r="AM21" s="50">
        <f t="shared" si="18"/>
        <v>1652100.035248785</v>
      </c>
      <c r="AN21" s="51">
        <f t="shared" si="19"/>
        <v>941615.68556363042</v>
      </c>
      <c r="AP21" s="198">
        <f>Maintenance!$A52</f>
        <v>2028</v>
      </c>
      <c r="AQ21" s="18">
        <f>Maintenance!$B52</f>
        <v>6</v>
      </c>
      <c r="AR21" s="50"/>
      <c r="AS21" s="51">
        <f t="shared" si="20"/>
        <v>710484.34968515462</v>
      </c>
      <c r="AU21" s="198">
        <f>Maintenance!$A52</f>
        <v>2028</v>
      </c>
      <c r="AV21" s="201">
        <f>Maintenance!$B52</f>
        <v>6</v>
      </c>
      <c r="AW21" s="160">
        <f>Maintenance!$B52</f>
        <v>6</v>
      </c>
      <c r="AX21" s="50"/>
      <c r="AY21" s="51">
        <f t="shared" si="9"/>
        <v>473425.72155603464</v>
      </c>
      <c r="BA21" s="63"/>
      <c r="BC21" s="198">
        <f>Maintenance!$A52</f>
        <v>2028</v>
      </c>
      <c r="BD21" s="201">
        <f>Maintenance!$B52</f>
        <v>6</v>
      </c>
      <c r="BE21" s="50">
        <f t="shared" si="21"/>
        <v>495903.59999999992</v>
      </c>
      <c r="BF21" s="51">
        <f t="shared" si="22"/>
        <v>495903.59999999992</v>
      </c>
      <c r="BH21" s="198">
        <f>Maintenance!$A52</f>
        <v>2028</v>
      </c>
      <c r="BI21" s="201">
        <f>Maintenance!$B52</f>
        <v>6</v>
      </c>
      <c r="BJ21" s="50"/>
      <c r="BK21" s="51">
        <f t="shared" si="10"/>
        <v>0</v>
      </c>
      <c r="BM21" s="198">
        <f>Maintenance!$A52</f>
        <v>2028</v>
      </c>
      <c r="BN21" s="201">
        <f>Maintenance!$B52</f>
        <v>6</v>
      </c>
      <c r="BO21" s="277">
        <f>Maintenance!$B52</f>
        <v>6</v>
      </c>
      <c r="BP21" s="50"/>
      <c r="BQ21" s="51">
        <f t="shared" si="11"/>
        <v>0</v>
      </c>
      <c r="BS21" s="63"/>
      <c r="BU21" s="198">
        <f>Maintenance!$A52</f>
        <v>2028</v>
      </c>
      <c r="BV21" s="201">
        <f>Maintenance!$B52</f>
        <v>6</v>
      </c>
      <c r="BW21" s="13"/>
      <c r="BX21" s="81">
        <f>Maintenance!F52</f>
        <v>0</v>
      </c>
      <c r="BZ21" s="198">
        <f>Maintenance!$A52</f>
        <v>2028</v>
      </c>
      <c r="CA21" s="201">
        <f>Maintenance!$B52</f>
        <v>6</v>
      </c>
      <c r="CB21" s="50">
        <f t="shared" si="12"/>
        <v>0</v>
      </c>
      <c r="CC21" s="51">
        <v>0</v>
      </c>
      <c r="CE21" s="198">
        <f>Maintenance!$A52</f>
        <v>2028</v>
      </c>
      <c r="CF21" s="201">
        <f>Maintenance!$B52</f>
        <v>6</v>
      </c>
      <c r="CG21" s="153"/>
      <c r="CH21" s="51">
        <f t="shared" si="23"/>
        <v>0</v>
      </c>
      <c r="CJ21" s="198">
        <f>Maintenance!$A52</f>
        <v>2028</v>
      </c>
      <c r="CK21" s="201">
        <f>Maintenance!$B52</f>
        <v>6</v>
      </c>
      <c r="CL21" s="277">
        <f>Maintenance!$B52</f>
        <v>6</v>
      </c>
      <c r="CM21" s="50"/>
      <c r="CN21" s="51">
        <f t="shared" si="4"/>
        <v>0</v>
      </c>
      <c r="CP21" s="63"/>
      <c r="CR21" s="198">
        <f>Maintenance!$A52</f>
        <v>2028</v>
      </c>
      <c r="CS21" s="277">
        <f>Maintenance!$B52</f>
        <v>6</v>
      </c>
      <c r="CT21" s="13" t="s">
        <v>307</v>
      </c>
      <c r="CU21" s="81">
        <v>1739000</v>
      </c>
      <c r="CV21">
        <v>5</v>
      </c>
      <c r="CW21" s="198">
        <f>Maintenance!$A52</f>
        <v>2028</v>
      </c>
      <c r="CX21" s="277">
        <f>Maintenance!$B52</f>
        <v>6</v>
      </c>
      <c r="CY21" s="50">
        <f t="shared" si="2"/>
        <v>1739000</v>
      </c>
      <c r="CZ21" s="51">
        <v>0</v>
      </c>
      <c r="DB21" s="198">
        <f>Maintenance!$A52</f>
        <v>2028</v>
      </c>
      <c r="DC21" s="277">
        <f>Maintenance!$B52</f>
        <v>6</v>
      </c>
      <c r="DD21" s="153"/>
      <c r="DE21" s="51">
        <f t="shared" si="3"/>
        <v>1739000</v>
      </c>
      <c r="DG21" s="198">
        <f>Maintenance!$A52</f>
        <v>2028</v>
      </c>
      <c r="DH21" s="277">
        <f>Maintenance!$B52</f>
        <v>6</v>
      </c>
      <c r="DI21" s="277">
        <f>Maintenance!$B52</f>
        <v>6</v>
      </c>
      <c r="DJ21" s="50"/>
      <c r="DK21" s="51">
        <f t="shared" si="5"/>
        <v>1158769.1272169154</v>
      </c>
    </row>
    <row r="22" spans="1:115" ht="15.75" customHeight="1">
      <c r="A22" s="198">
        <f>Maintenance!$A53</f>
        <v>2029</v>
      </c>
      <c r="B22" s="198">
        <f>Maintenance!$B53</f>
        <v>7</v>
      </c>
      <c r="C22" s="50">
        <f t="shared" si="13"/>
        <v>2993387.4474999998</v>
      </c>
      <c r="D22" s="51">
        <f t="shared" si="14"/>
        <v>2993387.4474999998</v>
      </c>
      <c r="F22" s="198">
        <f>Maintenance!$A53</f>
        <v>2029</v>
      </c>
      <c r="G22" s="193">
        <f>Maintenance!$B53</f>
        <v>7</v>
      </c>
      <c r="H22" s="50"/>
      <c r="I22" s="51">
        <f t="shared" si="6"/>
        <v>0</v>
      </c>
      <c r="K22" s="198">
        <f>Maintenance!$A53</f>
        <v>2029</v>
      </c>
      <c r="L22" s="195">
        <f>Maintenance!$B53</f>
        <v>7</v>
      </c>
      <c r="M22" s="195">
        <f>Maintenance!$B53</f>
        <v>7</v>
      </c>
      <c r="N22" s="50"/>
      <c r="O22" s="51">
        <f t="shared" si="7"/>
        <v>0</v>
      </c>
      <c r="Q22" s="63"/>
      <c r="S22" s="198">
        <f>Maintenance!$A53</f>
        <v>2029</v>
      </c>
      <c r="T22" s="160">
        <f>Maintenance!$B53</f>
        <v>7</v>
      </c>
      <c r="U22" s="50">
        <f t="shared" si="15"/>
        <v>6368495.0615982534</v>
      </c>
      <c r="V22" s="51">
        <f t="shared" si="16"/>
        <v>6737945.1066603344</v>
      </c>
      <c r="X22" s="198">
        <f>Maintenance!$A53</f>
        <v>2029</v>
      </c>
      <c r="Y22" s="195">
        <f>Maintenance!$B53</f>
        <v>7</v>
      </c>
      <c r="Z22" s="50"/>
      <c r="AA22" s="51">
        <f t="shared" si="17"/>
        <v>-369450.04506208096</v>
      </c>
      <c r="AC22" s="198">
        <f>Maintenance!$A53</f>
        <v>2029</v>
      </c>
      <c r="AD22" s="70">
        <f>Maintenance!$B53</f>
        <v>7</v>
      </c>
      <c r="AE22" s="96">
        <f>Maintenance!$B53</f>
        <v>7</v>
      </c>
      <c r="AF22" s="50"/>
      <c r="AG22" s="51">
        <f t="shared" si="8"/>
        <v>-230074.92020166147</v>
      </c>
      <c r="AI22" s="63"/>
      <c r="AK22" s="198">
        <f>Maintenance!$A53</f>
        <v>2029</v>
      </c>
      <c r="AL22" s="160">
        <f>Maintenance!$B53</f>
        <v>7</v>
      </c>
      <c r="AM22" s="50">
        <f t="shared" si="18"/>
        <v>1654586.7077902493</v>
      </c>
      <c r="AN22" s="51">
        <f t="shared" si="19"/>
        <v>943032.96649090212</v>
      </c>
      <c r="AP22" s="198">
        <f>Maintenance!$A53</f>
        <v>2029</v>
      </c>
      <c r="AQ22" s="18">
        <f>Maintenance!$B53</f>
        <v>7</v>
      </c>
      <c r="AR22" s="50"/>
      <c r="AS22" s="51">
        <f t="shared" si="20"/>
        <v>711553.74129934714</v>
      </c>
      <c r="AU22" s="198">
        <f>Maintenance!$A53</f>
        <v>2029</v>
      </c>
      <c r="AV22" s="201">
        <f>Maintenance!$B53</f>
        <v>7</v>
      </c>
      <c r="AW22" s="160">
        <f>Maintenance!$B53</f>
        <v>7</v>
      </c>
      <c r="AX22" s="50"/>
      <c r="AY22" s="51">
        <f t="shared" si="9"/>
        <v>443119.90873118356</v>
      </c>
      <c r="BA22" s="63"/>
      <c r="BC22" s="198">
        <f>Maintenance!$A53</f>
        <v>2029</v>
      </c>
      <c r="BD22" s="201">
        <f>Maintenance!$B53</f>
        <v>7</v>
      </c>
      <c r="BE22" s="50">
        <f t="shared" si="21"/>
        <v>499987.51199999993</v>
      </c>
      <c r="BF22" s="51">
        <f t="shared" si="22"/>
        <v>499987.51199999993</v>
      </c>
      <c r="BH22" s="198">
        <f>Maintenance!$A53</f>
        <v>2029</v>
      </c>
      <c r="BI22" s="201">
        <f>Maintenance!$B53</f>
        <v>7</v>
      </c>
      <c r="BJ22" s="50"/>
      <c r="BK22" s="51">
        <f t="shared" si="10"/>
        <v>0</v>
      </c>
      <c r="BM22" s="198">
        <f>Maintenance!$A53</f>
        <v>2029</v>
      </c>
      <c r="BN22" s="201">
        <f>Maintenance!$B53</f>
        <v>7</v>
      </c>
      <c r="BO22" s="277">
        <f>Maintenance!$B53</f>
        <v>7</v>
      </c>
      <c r="BP22" s="50"/>
      <c r="BQ22" s="51">
        <f t="shared" si="11"/>
        <v>0</v>
      </c>
      <c r="BS22" s="63"/>
      <c r="BU22" s="198">
        <f>Maintenance!$A53</f>
        <v>2029</v>
      </c>
      <c r="BV22" s="201">
        <f>Maintenance!$B53</f>
        <v>7</v>
      </c>
      <c r="BW22" s="13"/>
      <c r="BX22" s="81">
        <f>Maintenance!F53</f>
        <v>0</v>
      </c>
      <c r="BZ22" s="198">
        <f>Maintenance!$A53</f>
        <v>2029</v>
      </c>
      <c r="CA22" s="201">
        <f>Maintenance!$B53</f>
        <v>7</v>
      </c>
      <c r="CB22" s="50">
        <f t="shared" si="12"/>
        <v>0</v>
      </c>
      <c r="CC22" s="51">
        <v>0</v>
      </c>
      <c r="CE22" s="198">
        <f>Maintenance!$A53</f>
        <v>2029</v>
      </c>
      <c r="CF22" s="201">
        <f>Maintenance!$B53</f>
        <v>7</v>
      </c>
      <c r="CG22" s="153"/>
      <c r="CH22" s="51">
        <f t="shared" si="23"/>
        <v>0</v>
      </c>
      <c r="CJ22" s="198">
        <f>Maintenance!$A53</f>
        <v>2029</v>
      </c>
      <c r="CK22" s="201">
        <f>Maintenance!$B53</f>
        <v>7</v>
      </c>
      <c r="CL22" s="277">
        <f>Maintenance!$B53</f>
        <v>7</v>
      </c>
      <c r="CM22" s="50"/>
      <c r="CN22" s="51">
        <f t="shared" si="4"/>
        <v>0</v>
      </c>
      <c r="CP22" s="63"/>
      <c r="CR22" s="198">
        <f>Maintenance!$A53</f>
        <v>2029</v>
      </c>
      <c r="CS22" s="277">
        <f>Maintenance!$B53</f>
        <v>7</v>
      </c>
      <c r="CT22" s="13"/>
      <c r="CU22" s="81"/>
      <c r="CV22">
        <v>6</v>
      </c>
      <c r="CW22" s="198">
        <f>Maintenance!$A53</f>
        <v>2029</v>
      </c>
      <c r="CX22" s="277">
        <f>Maintenance!$B53</f>
        <v>7</v>
      </c>
      <c r="CY22" s="50">
        <f t="shared" si="2"/>
        <v>0</v>
      </c>
      <c r="CZ22" s="51">
        <v>0</v>
      </c>
      <c r="DB22" s="198">
        <f>Maintenance!$A53</f>
        <v>2029</v>
      </c>
      <c r="DC22" s="277">
        <f>Maintenance!$B53</f>
        <v>7</v>
      </c>
      <c r="DD22" s="153"/>
      <c r="DE22" s="51">
        <f t="shared" si="3"/>
        <v>0</v>
      </c>
      <c r="DG22" s="198">
        <f>Maintenance!$A53</f>
        <v>2029</v>
      </c>
      <c r="DH22" s="277">
        <f>Maintenance!$B53</f>
        <v>7</v>
      </c>
      <c r="DI22" s="277">
        <f>Maintenance!$B53</f>
        <v>7</v>
      </c>
      <c r="DJ22" s="50"/>
      <c r="DK22" s="51">
        <f t="shared" si="5"/>
        <v>0</v>
      </c>
    </row>
    <row r="23" spans="1:115" ht="15.75" customHeight="1">
      <c r="A23" s="198">
        <f>Maintenance!$A54</f>
        <v>2030</v>
      </c>
      <c r="B23" s="198">
        <f>Maintenance!$B54</f>
        <v>8</v>
      </c>
      <c r="C23" s="50">
        <f t="shared" si="13"/>
        <v>3017837.52</v>
      </c>
      <c r="D23" s="51">
        <f t="shared" si="14"/>
        <v>3017837.52</v>
      </c>
      <c r="F23" s="198">
        <f>Maintenance!$A54</f>
        <v>2030</v>
      </c>
      <c r="G23" s="193">
        <f>Maintenance!$B54</f>
        <v>8</v>
      </c>
      <c r="H23" s="50"/>
      <c r="I23" s="51">
        <f t="shared" si="6"/>
        <v>0</v>
      </c>
      <c r="K23" s="198">
        <f>Maintenance!$A54</f>
        <v>2030</v>
      </c>
      <c r="L23" s="195">
        <f>Maintenance!$B54</f>
        <v>8</v>
      </c>
      <c r="M23" s="195">
        <f>Maintenance!$B54</f>
        <v>8</v>
      </c>
      <c r="N23" s="50"/>
      <c r="O23" s="51">
        <f t="shared" si="7"/>
        <v>0</v>
      </c>
      <c r="Q23" s="63"/>
      <c r="S23" s="198">
        <f>Maintenance!$A54</f>
        <v>2030</v>
      </c>
      <c r="T23" s="160">
        <f>Maintenance!$B54</f>
        <v>8</v>
      </c>
      <c r="U23" s="50">
        <f t="shared" si="15"/>
        <v>6426200.9491658248</v>
      </c>
      <c r="V23" s="51">
        <f t="shared" si="16"/>
        <v>6804356.51409915</v>
      </c>
      <c r="X23" s="198">
        <f>Maintenance!$A54</f>
        <v>2030</v>
      </c>
      <c r="Y23" s="195">
        <f>Maintenance!$B54</f>
        <v>8</v>
      </c>
      <c r="Z23" s="50"/>
      <c r="AA23" s="51">
        <f t="shared" si="17"/>
        <v>-378155.56493332516</v>
      </c>
      <c r="AC23" s="198">
        <f>Maintenance!$A54</f>
        <v>2030</v>
      </c>
      <c r="AD23" s="70">
        <f>Maintenance!$B54</f>
        <v>8</v>
      </c>
      <c r="AE23" s="96">
        <f>Maintenance!$B54</f>
        <v>8</v>
      </c>
      <c r="AF23" s="50"/>
      <c r="AG23" s="51">
        <f t="shared" si="8"/>
        <v>-220089.98173313081</v>
      </c>
      <c r="AI23" s="63"/>
      <c r="AK23" s="198">
        <f>Maintenance!$A54</f>
        <v>2030</v>
      </c>
      <c r="AL23" s="160">
        <f>Maintenance!$B54</f>
        <v>8</v>
      </c>
      <c r="AM23" s="50">
        <f t="shared" si="18"/>
        <v>1657073.3803317135</v>
      </c>
      <c r="AN23" s="51">
        <f t="shared" si="19"/>
        <v>944450.24741817382</v>
      </c>
      <c r="AP23" s="198">
        <f>Maintenance!$A54</f>
        <v>2030</v>
      </c>
      <c r="AQ23" s="18">
        <f>Maintenance!$B54</f>
        <v>8</v>
      </c>
      <c r="AR23" s="50"/>
      <c r="AS23" s="51">
        <f t="shared" si="20"/>
        <v>712623.13291353965</v>
      </c>
      <c r="AU23" s="198">
        <f>Maintenance!$A54</f>
        <v>2030</v>
      </c>
      <c r="AV23" s="201">
        <f>Maintenance!$B54</f>
        <v>8</v>
      </c>
      <c r="AW23" s="160">
        <f>Maintenance!$B54</f>
        <v>8</v>
      </c>
      <c r="AX23" s="50"/>
      <c r="AY23" s="51">
        <f t="shared" si="9"/>
        <v>414753.15147934156</v>
      </c>
      <c r="BA23" s="63"/>
      <c r="BC23" s="198">
        <f>Maintenance!$A54</f>
        <v>2030</v>
      </c>
      <c r="BD23" s="201">
        <f>Maintenance!$B54</f>
        <v>8</v>
      </c>
      <c r="BE23" s="50">
        <f t="shared" si="21"/>
        <v>504071.42399999994</v>
      </c>
      <c r="BF23" s="51">
        <f t="shared" si="22"/>
        <v>504071.42399999994</v>
      </c>
      <c r="BH23" s="198">
        <f>Maintenance!$A54</f>
        <v>2030</v>
      </c>
      <c r="BI23" s="201">
        <f>Maintenance!$B54</f>
        <v>8</v>
      </c>
      <c r="BJ23" s="50"/>
      <c r="BK23" s="51">
        <f t="shared" si="10"/>
        <v>0</v>
      </c>
      <c r="BM23" s="198">
        <f>Maintenance!$A54</f>
        <v>2030</v>
      </c>
      <c r="BN23" s="201">
        <f>Maintenance!$B54</f>
        <v>8</v>
      </c>
      <c r="BO23" s="277">
        <f>Maintenance!$B54</f>
        <v>8</v>
      </c>
      <c r="BP23" s="50"/>
      <c r="BQ23" s="51">
        <f t="shared" si="11"/>
        <v>0</v>
      </c>
      <c r="BS23" s="63"/>
      <c r="BU23" s="198">
        <f>Maintenance!$A54</f>
        <v>2030</v>
      </c>
      <c r="BV23" s="201">
        <f>Maintenance!$B54</f>
        <v>8</v>
      </c>
      <c r="BW23" s="13"/>
      <c r="BX23" s="81">
        <f>Maintenance!F54</f>
        <v>0</v>
      </c>
      <c r="BZ23" s="198">
        <f>Maintenance!$A54</f>
        <v>2030</v>
      </c>
      <c r="CA23" s="201">
        <f>Maintenance!$B54</f>
        <v>8</v>
      </c>
      <c r="CB23" s="50">
        <f t="shared" si="12"/>
        <v>0</v>
      </c>
      <c r="CC23" s="51">
        <v>0</v>
      </c>
      <c r="CE23" s="198">
        <f>Maintenance!$A54</f>
        <v>2030</v>
      </c>
      <c r="CF23" s="201">
        <f>Maintenance!$B54</f>
        <v>8</v>
      </c>
      <c r="CG23" s="153"/>
      <c r="CH23" s="51">
        <f t="shared" si="23"/>
        <v>0</v>
      </c>
      <c r="CJ23" s="198">
        <f>Maintenance!$A54</f>
        <v>2030</v>
      </c>
      <c r="CK23" s="201">
        <f>Maintenance!$B54</f>
        <v>8</v>
      </c>
      <c r="CL23" s="277">
        <f>Maintenance!$B54</f>
        <v>8</v>
      </c>
      <c r="CM23" s="50"/>
      <c r="CN23" s="51">
        <f t="shared" si="4"/>
        <v>0</v>
      </c>
      <c r="CP23" s="63"/>
      <c r="CR23" s="198">
        <f>Maintenance!$A54</f>
        <v>2030</v>
      </c>
      <c r="CS23" s="277">
        <f>Maintenance!$B54</f>
        <v>8</v>
      </c>
      <c r="CT23" s="13"/>
      <c r="CU23" s="81"/>
      <c r="CV23">
        <v>7</v>
      </c>
      <c r="CW23" s="198">
        <f>Maintenance!$A54</f>
        <v>2030</v>
      </c>
      <c r="CX23" s="277">
        <f>Maintenance!$B54</f>
        <v>8</v>
      </c>
      <c r="CY23" s="50">
        <f t="shared" si="2"/>
        <v>0</v>
      </c>
      <c r="CZ23" s="51">
        <v>0</v>
      </c>
      <c r="DB23" s="198">
        <f>Maintenance!$A54</f>
        <v>2030</v>
      </c>
      <c r="DC23" s="277">
        <f>Maintenance!$B54</f>
        <v>8</v>
      </c>
      <c r="DD23" s="153"/>
      <c r="DE23" s="51">
        <f t="shared" si="3"/>
        <v>0</v>
      </c>
      <c r="DG23" s="198">
        <f>Maintenance!$A54</f>
        <v>2030</v>
      </c>
      <c r="DH23" s="277">
        <f>Maintenance!$B54</f>
        <v>8</v>
      </c>
      <c r="DI23" s="277">
        <f>Maintenance!$B54</f>
        <v>8</v>
      </c>
      <c r="DJ23" s="50"/>
      <c r="DK23" s="51">
        <f t="shared" si="5"/>
        <v>0</v>
      </c>
    </row>
    <row r="24" spans="1:115" ht="15.75" customHeight="1">
      <c r="A24" s="198">
        <f>Maintenance!$A55</f>
        <v>2031</v>
      </c>
      <c r="B24" s="198">
        <f>Maintenance!$B55</f>
        <v>9</v>
      </c>
      <c r="C24" s="50">
        <f t="shared" si="13"/>
        <v>3042287.5924999998</v>
      </c>
      <c r="D24" s="51">
        <f t="shared" si="14"/>
        <v>3042287.5924999998</v>
      </c>
      <c r="F24" s="198">
        <f>Maintenance!$A55</f>
        <v>2031</v>
      </c>
      <c r="G24" s="193">
        <f>Maintenance!$B55</f>
        <v>9</v>
      </c>
      <c r="H24" s="50"/>
      <c r="I24" s="51">
        <f t="shared" si="6"/>
        <v>0</v>
      </c>
      <c r="K24" s="198">
        <f>Maintenance!$A55</f>
        <v>2031</v>
      </c>
      <c r="L24" s="195">
        <f>Maintenance!$B55</f>
        <v>9</v>
      </c>
      <c r="M24" s="195">
        <f>Maintenance!$B55</f>
        <v>9</v>
      </c>
      <c r="N24" s="50"/>
      <c r="O24" s="51">
        <f t="shared" si="7"/>
        <v>0</v>
      </c>
      <c r="Q24" s="63"/>
      <c r="S24" s="198">
        <f>Maintenance!$A55</f>
        <v>2031</v>
      </c>
      <c r="T24" s="160">
        <f>Maintenance!$B55</f>
        <v>9</v>
      </c>
      <c r="U24" s="50">
        <f t="shared" si="15"/>
        <v>6483906.8367333971</v>
      </c>
      <c r="V24" s="51">
        <f t="shared" si="16"/>
        <v>6870767.9215379655</v>
      </c>
      <c r="X24" s="198">
        <f>Maintenance!$A55</f>
        <v>2031</v>
      </c>
      <c r="Y24" s="195">
        <f>Maintenance!$B55</f>
        <v>9</v>
      </c>
      <c r="Z24" s="50"/>
      <c r="AA24" s="51">
        <f t="shared" si="17"/>
        <v>-386861.08480456844</v>
      </c>
      <c r="AC24" s="198">
        <f>Maintenance!$A55</f>
        <v>2031</v>
      </c>
      <c r="AD24" s="70">
        <f>Maintenance!$B55</f>
        <v>9</v>
      </c>
      <c r="AE24" s="96">
        <f>Maintenance!$B55</f>
        <v>9</v>
      </c>
      <c r="AF24" s="50"/>
      <c r="AG24" s="51">
        <f t="shared" si="8"/>
        <v>-210426.79771791241</v>
      </c>
      <c r="AI24" s="63"/>
      <c r="AK24" s="198">
        <f>Maintenance!$A55</f>
        <v>2031</v>
      </c>
      <c r="AL24" s="160">
        <f>Maintenance!$B55</f>
        <v>9</v>
      </c>
      <c r="AM24" s="50">
        <f t="shared" si="18"/>
        <v>1659560.0528731777</v>
      </c>
      <c r="AN24" s="51">
        <f t="shared" si="19"/>
        <v>945867.52834544564</v>
      </c>
      <c r="AP24" s="198">
        <f>Maintenance!$A55</f>
        <v>2031</v>
      </c>
      <c r="AQ24" s="18">
        <f>Maintenance!$B55</f>
        <v>9</v>
      </c>
      <c r="AR24" s="50"/>
      <c r="AS24" s="51">
        <f t="shared" si="20"/>
        <v>713692.52452773205</v>
      </c>
      <c r="AU24" s="198">
        <f>Maintenance!$A55</f>
        <v>2031</v>
      </c>
      <c r="AV24" s="201">
        <f>Maintenance!$B55</f>
        <v>9</v>
      </c>
      <c r="AW24" s="160">
        <f>Maintenance!$B55</f>
        <v>9</v>
      </c>
      <c r="AX24" s="50"/>
      <c r="AY24" s="51">
        <f t="shared" si="9"/>
        <v>388201.44592069817</v>
      </c>
      <c r="BA24" s="63"/>
      <c r="BC24" s="198">
        <f>Maintenance!$A55</f>
        <v>2031</v>
      </c>
      <c r="BD24" s="201">
        <f>Maintenance!$B55</f>
        <v>9</v>
      </c>
      <c r="BE24" s="50">
        <f t="shared" si="21"/>
        <v>508155.33599999995</v>
      </c>
      <c r="BF24" s="51">
        <f t="shared" si="22"/>
        <v>508155.33599999995</v>
      </c>
      <c r="BH24" s="198">
        <f>Maintenance!$A55</f>
        <v>2031</v>
      </c>
      <c r="BI24" s="201">
        <f>Maintenance!$B55</f>
        <v>9</v>
      </c>
      <c r="BJ24" s="50"/>
      <c r="BK24" s="51">
        <f t="shared" si="10"/>
        <v>0</v>
      </c>
      <c r="BM24" s="198">
        <f>Maintenance!$A55</f>
        <v>2031</v>
      </c>
      <c r="BN24" s="201">
        <f>Maintenance!$B55</f>
        <v>9</v>
      </c>
      <c r="BO24" s="277">
        <f>Maintenance!$B55</f>
        <v>9</v>
      </c>
      <c r="BP24" s="50"/>
      <c r="BQ24" s="51">
        <f t="shared" si="11"/>
        <v>0</v>
      </c>
      <c r="BS24" s="63"/>
      <c r="BU24" s="198">
        <f>Maintenance!$A55</f>
        <v>2031</v>
      </c>
      <c r="BV24" s="201">
        <f>Maintenance!$B55</f>
        <v>9</v>
      </c>
      <c r="BW24" s="13"/>
      <c r="BX24" s="81">
        <f>Maintenance!F55</f>
        <v>0</v>
      </c>
      <c r="BZ24" s="198">
        <f>Maintenance!$A55</f>
        <v>2031</v>
      </c>
      <c r="CA24" s="201">
        <f>Maintenance!$B55</f>
        <v>9</v>
      </c>
      <c r="CB24" s="50">
        <f t="shared" si="12"/>
        <v>0</v>
      </c>
      <c r="CC24" s="51">
        <v>0</v>
      </c>
      <c r="CE24" s="198">
        <f>Maintenance!$A55</f>
        <v>2031</v>
      </c>
      <c r="CF24" s="201">
        <f>Maintenance!$B55</f>
        <v>9</v>
      </c>
      <c r="CG24" s="153"/>
      <c r="CH24" s="51">
        <f t="shared" si="23"/>
        <v>0</v>
      </c>
      <c r="CJ24" s="198">
        <f>Maintenance!$A55</f>
        <v>2031</v>
      </c>
      <c r="CK24" s="201">
        <f>Maintenance!$B55</f>
        <v>9</v>
      </c>
      <c r="CL24" s="277">
        <f>Maintenance!$B55</f>
        <v>9</v>
      </c>
      <c r="CM24" s="50"/>
      <c r="CN24" s="51">
        <f t="shared" si="4"/>
        <v>0</v>
      </c>
      <c r="CP24" s="63"/>
      <c r="CR24" s="198">
        <f>Maintenance!$A55</f>
        <v>2031</v>
      </c>
      <c r="CS24" s="277">
        <f>Maintenance!$B55</f>
        <v>9</v>
      </c>
      <c r="CT24" s="13" t="s">
        <v>308</v>
      </c>
      <c r="CU24" s="81">
        <v>9839000</v>
      </c>
      <c r="CV24">
        <v>8</v>
      </c>
      <c r="CW24" s="198">
        <f>Maintenance!$A55</f>
        <v>2031</v>
      </c>
      <c r="CX24" s="277">
        <f>Maintenance!$B55</f>
        <v>9</v>
      </c>
      <c r="CY24" s="50">
        <f t="shared" si="2"/>
        <v>9839000</v>
      </c>
      <c r="CZ24" s="51">
        <v>0</v>
      </c>
      <c r="DB24" s="198">
        <f>Maintenance!$A55</f>
        <v>2031</v>
      </c>
      <c r="DC24" s="277">
        <f>Maintenance!$B55</f>
        <v>9</v>
      </c>
      <c r="DD24" s="153"/>
      <c r="DE24" s="51">
        <f t="shared" si="3"/>
        <v>9839000</v>
      </c>
      <c r="DG24" s="198">
        <f>Maintenance!$A55</f>
        <v>2031</v>
      </c>
      <c r="DH24" s="277">
        <f>Maintenance!$B55</f>
        <v>9</v>
      </c>
      <c r="DI24" s="277">
        <f>Maintenance!$B55</f>
        <v>9</v>
      </c>
      <c r="DJ24" s="50"/>
      <c r="DK24" s="51">
        <f t="shared" si="5"/>
        <v>5351764.093285433</v>
      </c>
    </row>
    <row r="25" spans="1:115">
      <c r="A25" s="198">
        <f>Maintenance!$A56</f>
        <v>2032</v>
      </c>
      <c r="B25" s="198">
        <f>Maintenance!$B56</f>
        <v>10</v>
      </c>
      <c r="C25" s="50">
        <f t="shared" si="13"/>
        <v>3066737.665</v>
      </c>
      <c r="D25" s="51">
        <f t="shared" si="14"/>
        <v>3066737.665</v>
      </c>
      <c r="F25" s="198">
        <f>Maintenance!$A56</f>
        <v>2032</v>
      </c>
      <c r="G25" s="193">
        <f>Maintenance!$B56</f>
        <v>10</v>
      </c>
      <c r="H25" s="50"/>
      <c r="I25" s="51">
        <f t="shared" si="6"/>
        <v>0</v>
      </c>
      <c r="K25" s="198">
        <f>Maintenance!$A56</f>
        <v>2032</v>
      </c>
      <c r="L25" s="195">
        <f>Maintenance!$B56</f>
        <v>10</v>
      </c>
      <c r="M25" s="195">
        <f>Maintenance!$B56</f>
        <v>10</v>
      </c>
      <c r="N25" s="50"/>
      <c r="O25" s="51">
        <f t="shared" si="7"/>
        <v>0</v>
      </c>
      <c r="Q25" s="63"/>
      <c r="S25" s="198">
        <f>Maintenance!$A56</f>
        <v>2032</v>
      </c>
      <c r="T25" s="160">
        <f>Maintenance!$B56</f>
        <v>10</v>
      </c>
      <c r="U25" s="50">
        <f t="shared" si="15"/>
        <v>6541612.7243009694</v>
      </c>
      <c r="V25" s="51">
        <f t="shared" si="16"/>
        <v>6937179.328976782</v>
      </c>
      <c r="X25" s="198">
        <f>Maintenance!$A56</f>
        <v>2032</v>
      </c>
      <c r="Y25" s="195">
        <f>Maintenance!$B56</f>
        <v>10</v>
      </c>
      <c r="Z25" s="50"/>
      <c r="AA25" s="51">
        <f t="shared" si="17"/>
        <v>-395566.60467581265</v>
      </c>
      <c r="AC25" s="198">
        <f>Maintenance!$A56</f>
        <v>2032</v>
      </c>
      <c r="AD25" s="70">
        <f>Maintenance!$B56</f>
        <v>10</v>
      </c>
      <c r="AE25" s="96">
        <f>Maintenance!$B56</f>
        <v>10</v>
      </c>
      <c r="AF25" s="50"/>
      <c r="AG25" s="51">
        <f t="shared" si="8"/>
        <v>-201086.0034790831</v>
      </c>
      <c r="AI25" s="63"/>
      <c r="AK25" s="198">
        <f>Maintenance!$A56</f>
        <v>2032</v>
      </c>
      <c r="AL25" s="160">
        <f>Maintenance!$B56</f>
        <v>10</v>
      </c>
      <c r="AM25" s="50">
        <f t="shared" si="18"/>
        <v>1662046.7254146419</v>
      </c>
      <c r="AN25" s="51">
        <f t="shared" si="19"/>
        <v>947284.80927271734</v>
      </c>
      <c r="AP25" s="198">
        <f>Maintenance!$A56</f>
        <v>2032</v>
      </c>
      <c r="AQ25" s="18">
        <f>Maintenance!$B56</f>
        <v>10</v>
      </c>
      <c r="AR25" s="50"/>
      <c r="AS25" s="51">
        <f t="shared" si="20"/>
        <v>714761.91614192456</v>
      </c>
      <c r="AU25" s="198">
        <f>Maintenance!$A56</f>
        <v>2032</v>
      </c>
      <c r="AV25" s="201">
        <f>Maintenance!$B56</f>
        <v>10</v>
      </c>
      <c r="AW25" s="160">
        <f>Maintenance!$B56</f>
        <v>10</v>
      </c>
      <c r="AX25" s="50"/>
      <c r="AY25" s="51">
        <f t="shared" si="9"/>
        <v>363348.71411560191</v>
      </c>
      <c r="BA25" s="63"/>
      <c r="BC25" s="198">
        <f>Maintenance!$A56</f>
        <v>2032</v>
      </c>
      <c r="BD25" s="201">
        <f>Maintenance!$B56</f>
        <v>10</v>
      </c>
      <c r="BE25" s="50">
        <f t="shared" si="21"/>
        <v>512239.24799999996</v>
      </c>
      <c r="BF25" s="51">
        <f t="shared" si="22"/>
        <v>512239.24799999996</v>
      </c>
      <c r="BH25" s="198">
        <f>Maintenance!$A56</f>
        <v>2032</v>
      </c>
      <c r="BI25" s="201">
        <f>Maintenance!$B56</f>
        <v>10</v>
      </c>
      <c r="BJ25" s="50"/>
      <c r="BK25" s="51">
        <f t="shared" si="10"/>
        <v>0</v>
      </c>
      <c r="BM25" s="198">
        <f>Maintenance!$A56</f>
        <v>2032</v>
      </c>
      <c r="BN25" s="201">
        <f>Maintenance!$B56</f>
        <v>10</v>
      </c>
      <c r="BO25" s="277">
        <f>Maintenance!$B56</f>
        <v>10</v>
      </c>
      <c r="BP25" s="50"/>
      <c r="BQ25" s="51">
        <f t="shared" si="11"/>
        <v>0</v>
      </c>
      <c r="BS25" s="63"/>
      <c r="BU25" s="198">
        <f>Maintenance!$A56</f>
        <v>2032</v>
      </c>
      <c r="BV25" s="201">
        <f>Maintenance!$B56</f>
        <v>10</v>
      </c>
      <c r="BW25" s="13"/>
      <c r="BX25" s="81">
        <f>Maintenance!F56</f>
        <v>0</v>
      </c>
      <c r="BZ25" s="198">
        <f>Maintenance!$A56</f>
        <v>2032</v>
      </c>
      <c r="CA25" s="201">
        <f>Maintenance!$B56</f>
        <v>10</v>
      </c>
      <c r="CB25" s="50">
        <f t="shared" si="12"/>
        <v>0</v>
      </c>
      <c r="CC25" s="51">
        <v>0</v>
      </c>
      <c r="CE25" s="198">
        <f>Maintenance!$A56</f>
        <v>2032</v>
      </c>
      <c r="CF25" s="201">
        <f>Maintenance!$B56</f>
        <v>10</v>
      </c>
      <c r="CG25" s="153"/>
      <c r="CH25" s="51">
        <f t="shared" si="23"/>
        <v>0</v>
      </c>
      <c r="CJ25" s="198">
        <f>Maintenance!$A56</f>
        <v>2032</v>
      </c>
      <c r="CK25" s="201">
        <f>Maintenance!$B56</f>
        <v>10</v>
      </c>
      <c r="CL25" s="277">
        <f>Maintenance!$B56</f>
        <v>10</v>
      </c>
      <c r="CM25" s="50"/>
      <c r="CN25" s="51">
        <f t="shared" si="4"/>
        <v>0</v>
      </c>
      <c r="CP25" s="63"/>
      <c r="CR25" s="198">
        <f>Maintenance!$A56</f>
        <v>2032</v>
      </c>
      <c r="CS25" s="277">
        <f>Maintenance!$B56</f>
        <v>10</v>
      </c>
      <c r="CT25" s="13"/>
      <c r="CU25" s="81"/>
      <c r="CV25">
        <v>9</v>
      </c>
      <c r="CW25" s="198">
        <f>Maintenance!$A56</f>
        <v>2032</v>
      </c>
      <c r="CX25" s="277">
        <f>Maintenance!$B56</f>
        <v>10</v>
      </c>
      <c r="CY25" s="50">
        <f t="shared" si="2"/>
        <v>0</v>
      </c>
      <c r="CZ25" s="51">
        <v>0</v>
      </c>
      <c r="DB25" s="198">
        <f>Maintenance!$A56</f>
        <v>2032</v>
      </c>
      <c r="DC25" s="277">
        <f>Maintenance!$B56</f>
        <v>10</v>
      </c>
      <c r="DD25" s="153"/>
      <c r="DE25" s="51">
        <f t="shared" si="3"/>
        <v>0</v>
      </c>
      <c r="DG25" s="198">
        <f>Maintenance!$A56</f>
        <v>2032</v>
      </c>
      <c r="DH25" s="277">
        <f>Maintenance!$B56</f>
        <v>10</v>
      </c>
      <c r="DI25" s="277">
        <f>Maintenance!$B56</f>
        <v>10</v>
      </c>
      <c r="DJ25" s="50"/>
      <c r="DK25" s="51">
        <f t="shared" si="5"/>
        <v>0</v>
      </c>
    </row>
    <row r="26" spans="1:115">
      <c r="A26" s="198">
        <f>Maintenance!$A57</f>
        <v>2033</v>
      </c>
      <c r="B26" s="198">
        <f>Maintenance!$B57</f>
        <v>11</v>
      </c>
      <c r="C26" s="50">
        <f t="shared" si="13"/>
        <v>3091187.7374999998</v>
      </c>
      <c r="D26" s="51">
        <f t="shared" si="14"/>
        <v>3091187.7374999998</v>
      </c>
      <c r="F26" s="198">
        <f>Maintenance!$A57</f>
        <v>2033</v>
      </c>
      <c r="G26" s="193">
        <f>Maintenance!$B57</f>
        <v>11</v>
      </c>
      <c r="H26" s="50"/>
      <c r="I26" s="51">
        <f t="shared" si="6"/>
        <v>0</v>
      </c>
      <c r="K26" s="198">
        <f>Maintenance!$A57</f>
        <v>2033</v>
      </c>
      <c r="L26" s="195">
        <f>Maintenance!$B57</f>
        <v>11</v>
      </c>
      <c r="M26" s="195">
        <f>Maintenance!$B57</f>
        <v>11</v>
      </c>
      <c r="N26" s="50"/>
      <c r="O26" s="51">
        <f t="shared" si="7"/>
        <v>0</v>
      </c>
      <c r="Q26" s="63"/>
      <c r="S26" s="198">
        <f>Maintenance!$A57</f>
        <v>2033</v>
      </c>
      <c r="T26" s="160">
        <f>Maintenance!$B57</f>
        <v>11</v>
      </c>
      <c r="U26" s="50">
        <f t="shared" si="15"/>
        <v>6599318.6118685408</v>
      </c>
      <c r="V26" s="51">
        <f t="shared" si="16"/>
        <v>7003590.7364155976</v>
      </c>
      <c r="X26" s="198">
        <f>Maintenance!$A57</f>
        <v>2033</v>
      </c>
      <c r="Y26" s="195">
        <f>Maintenance!$B57</f>
        <v>11</v>
      </c>
      <c r="Z26" s="50"/>
      <c r="AA26" s="51">
        <f t="shared" si="17"/>
        <v>-404272.12454705685</v>
      </c>
      <c r="AC26" s="198">
        <f>Maintenance!$A57</f>
        <v>2033</v>
      </c>
      <c r="AD26" s="70">
        <f>Maintenance!$B57</f>
        <v>11</v>
      </c>
      <c r="AE26" s="96">
        <f>Maintenance!$B57</f>
        <v>11</v>
      </c>
      <c r="AF26" s="50"/>
      <c r="AG26" s="51">
        <f t="shared" si="8"/>
        <v>-192066.77415261196</v>
      </c>
      <c r="AI26" s="63"/>
      <c r="AK26" s="198">
        <f>Maintenance!$A57</f>
        <v>2033</v>
      </c>
      <c r="AL26" s="160">
        <f>Maintenance!$B57</f>
        <v>11</v>
      </c>
      <c r="AM26" s="50">
        <f t="shared" si="18"/>
        <v>1664533.3979561061</v>
      </c>
      <c r="AN26" s="51">
        <f t="shared" si="19"/>
        <v>948702.09019998903</v>
      </c>
      <c r="AP26" s="198">
        <f>Maintenance!$A57</f>
        <v>2033</v>
      </c>
      <c r="AQ26" s="18">
        <f>Maintenance!$B57</f>
        <v>11</v>
      </c>
      <c r="AR26" s="50"/>
      <c r="AS26" s="51">
        <f t="shared" si="20"/>
        <v>715831.30775611708</v>
      </c>
      <c r="AU26" s="198">
        <f>Maintenance!$A57</f>
        <v>2033</v>
      </c>
      <c r="AV26" s="201">
        <f>Maintenance!$B57</f>
        <v>11</v>
      </c>
      <c r="AW26" s="160">
        <f>Maintenance!$B57</f>
        <v>11</v>
      </c>
      <c r="AX26" s="50"/>
      <c r="AY26" s="51">
        <f t="shared" si="9"/>
        <v>340086.29774363682</v>
      </c>
      <c r="BA26" s="63"/>
      <c r="BC26" s="198">
        <f>Maintenance!$A57</f>
        <v>2033</v>
      </c>
      <c r="BD26" s="201">
        <f>Maintenance!$B57</f>
        <v>11</v>
      </c>
      <c r="BE26" s="50">
        <f t="shared" si="21"/>
        <v>516323.16</v>
      </c>
      <c r="BF26" s="51">
        <f t="shared" si="22"/>
        <v>516323.16</v>
      </c>
      <c r="BH26" s="198">
        <f>Maintenance!$A57</f>
        <v>2033</v>
      </c>
      <c r="BI26" s="201">
        <f>Maintenance!$B57</f>
        <v>11</v>
      </c>
      <c r="BJ26" s="50"/>
      <c r="BK26" s="51">
        <f t="shared" si="10"/>
        <v>0</v>
      </c>
      <c r="BM26" s="198">
        <f>Maintenance!$A57</f>
        <v>2033</v>
      </c>
      <c r="BN26" s="201">
        <f>Maintenance!$B57</f>
        <v>11</v>
      </c>
      <c r="BO26" s="277">
        <f>Maintenance!$B57</f>
        <v>11</v>
      </c>
      <c r="BP26" s="50"/>
      <c r="BQ26" s="51">
        <f t="shared" si="11"/>
        <v>0</v>
      </c>
      <c r="BS26" s="63"/>
      <c r="BU26" s="198">
        <f>Maintenance!$A57</f>
        <v>2033</v>
      </c>
      <c r="BV26" s="201">
        <f>Maintenance!$B57</f>
        <v>11</v>
      </c>
      <c r="BW26" s="13"/>
      <c r="BX26" s="81">
        <f>Maintenance!F57</f>
        <v>0</v>
      </c>
      <c r="BZ26" s="198">
        <f>Maintenance!$A57</f>
        <v>2033</v>
      </c>
      <c r="CA26" s="201">
        <f>Maintenance!$B57</f>
        <v>11</v>
      </c>
      <c r="CB26" s="50">
        <f t="shared" si="12"/>
        <v>0</v>
      </c>
      <c r="CC26" s="51">
        <v>0</v>
      </c>
      <c r="CE26" s="198">
        <f>Maintenance!$A57</f>
        <v>2033</v>
      </c>
      <c r="CF26" s="201">
        <f>Maintenance!$B57</f>
        <v>11</v>
      </c>
      <c r="CG26" s="153"/>
      <c r="CH26" s="51">
        <f t="shared" si="23"/>
        <v>0</v>
      </c>
      <c r="CJ26" s="198">
        <f>Maintenance!$A57</f>
        <v>2033</v>
      </c>
      <c r="CK26" s="201">
        <f>Maintenance!$B57</f>
        <v>11</v>
      </c>
      <c r="CL26" s="277">
        <f>Maintenance!$B57</f>
        <v>11</v>
      </c>
      <c r="CM26" s="50"/>
      <c r="CN26" s="51">
        <f t="shared" si="4"/>
        <v>0</v>
      </c>
      <c r="CP26" s="63"/>
      <c r="CR26" s="198">
        <f>Maintenance!$A57</f>
        <v>2033</v>
      </c>
      <c r="CS26" s="277">
        <f>Maintenance!$B57</f>
        <v>11</v>
      </c>
      <c r="CT26" s="354" t="s">
        <v>309</v>
      </c>
      <c r="CU26" s="81">
        <v>3360000</v>
      </c>
      <c r="CV26">
        <v>10</v>
      </c>
      <c r="CW26" s="198">
        <f>Maintenance!$A57</f>
        <v>2033</v>
      </c>
      <c r="CX26" s="277">
        <f>Maintenance!$B57</f>
        <v>11</v>
      </c>
      <c r="CY26" s="50">
        <f t="shared" si="2"/>
        <v>3360000</v>
      </c>
      <c r="CZ26" s="51">
        <v>0</v>
      </c>
      <c r="DB26" s="198">
        <f>Maintenance!$A57</f>
        <v>2033</v>
      </c>
      <c r="DC26" s="277">
        <f>Maintenance!$B57</f>
        <v>11</v>
      </c>
      <c r="DD26" s="153"/>
      <c r="DE26" s="51">
        <f t="shared" si="3"/>
        <v>3360000</v>
      </c>
      <c r="DG26" s="198">
        <f>Maintenance!$A57</f>
        <v>2033</v>
      </c>
      <c r="DH26" s="277">
        <f>Maintenance!$B57</f>
        <v>11</v>
      </c>
      <c r="DI26" s="277">
        <f>Maintenance!$B57</f>
        <v>11</v>
      </c>
      <c r="DJ26" s="50"/>
      <c r="DK26" s="51">
        <f t="shared" si="5"/>
        <v>1596311.7958622912</v>
      </c>
    </row>
    <row r="27" spans="1:115" ht="15.75" customHeight="1">
      <c r="A27" s="198">
        <f>Maintenance!$A58</f>
        <v>2034</v>
      </c>
      <c r="B27" s="198">
        <f>Maintenance!$B58</f>
        <v>12</v>
      </c>
      <c r="C27" s="50">
        <f t="shared" si="13"/>
        <v>3115637.8099999996</v>
      </c>
      <c r="D27" s="51">
        <f t="shared" si="14"/>
        <v>3115637.8099999996</v>
      </c>
      <c r="F27" s="198">
        <f>Maintenance!$A58</f>
        <v>2034</v>
      </c>
      <c r="G27" s="193">
        <f>Maintenance!$B58</f>
        <v>12</v>
      </c>
      <c r="H27" s="50"/>
      <c r="I27" s="51">
        <f t="shared" si="6"/>
        <v>0</v>
      </c>
      <c r="K27" s="198">
        <f>Maintenance!$A58</f>
        <v>2034</v>
      </c>
      <c r="L27" s="195">
        <f>Maintenance!$B58</f>
        <v>12</v>
      </c>
      <c r="M27" s="195">
        <f>Maintenance!$B58</f>
        <v>12</v>
      </c>
      <c r="N27" s="50"/>
      <c r="O27" s="51">
        <f t="shared" si="7"/>
        <v>0</v>
      </c>
      <c r="Q27" s="63"/>
      <c r="S27" s="198">
        <f>Maintenance!$A58</f>
        <v>2034</v>
      </c>
      <c r="T27" s="160">
        <f>Maintenance!$B58</f>
        <v>12</v>
      </c>
      <c r="U27" s="50">
        <f t="shared" si="15"/>
        <v>6657024.4994361131</v>
      </c>
      <c r="V27" s="51">
        <f t="shared" si="16"/>
        <v>7070002.1438544132</v>
      </c>
      <c r="X27" s="198">
        <f>Maintenance!$A58</f>
        <v>2034</v>
      </c>
      <c r="Y27" s="195">
        <f>Maintenance!$B58</f>
        <v>12</v>
      </c>
      <c r="Z27" s="50"/>
      <c r="AA27" s="51">
        <f t="shared" si="17"/>
        <v>-412977.64441830013</v>
      </c>
      <c r="AC27" s="198">
        <f>Maintenance!$A58</f>
        <v>2034</v>
      </c>
      <c r="AD27" s="70">
        <f>Maintenance!$B58</f>
        <v>12</v>
      </c>
      <c r="AE27" s="96">
        <f>Maintenance!$B58</f>
        <v>12</v>
      </c>
      <c r="AF27" s="50"/>
      <c r="AG27" s="51">
        <f t="shared" si="8"/>
        <v>-183367.01302079315</v>
      </c>
      <c r="AI27" s="63"/>
      <c r="AK27" s="198">
        <f>Maintenance!$A58</f>
        <v>2034</v>
      </c>
      <c r="AL27" s="160">
        <f>Maintenance!$B58</f>
        <v>12</v>
      </c>
      <c r="AM27" s="50">
        <f t="shared" si="18"/>
        <v>1667020.0704975703</v>
      </c>
      <c r="AN27" s="51">
        <f t="shared" si="19"/>
        <v>950119.37112726085</v>
      </c>
      <c r="AP27" s="198">
        <f>Maintenance!$A58</f>
        <v>2034</v>
      </c>
      <c r="AQ27" s="18">
        <f>Maintenance!$B58</f>
        <v>12</v>
      </c>
      <c r="AR27" s="50"/>
      <c r="AS27" s="51">
        <f t="shared" si="20"/>
        <v>716900.69937030948</v>
      </c>
      <c r="AU27" s="198">
        <f>Maintenance!$A58</f>
        <v>2034</v>
      </c>
      <c r="AV27" s="201">
        <f>Maintenance!$B58</f>
        <v>12</v>
      </c>
      <c r="AW27" s="160">
        <f>Maintenance!$B58</f>
        <v>12</v>
      </c>
      <c r="AX27" s="50"/>
      <c r="AY27" s="51">
        <f t="shared" si="9"/>
        <v>318312.48410846444</v>
      </c>
      <c r="BA27" s="63"/>
      <c r="BC27" s="198">
        <f>Maintenance!$A58</f>
        <v>2034</v>
      </c>
      <c r="BD27" s="201">
        <f>Maintenance!$B58</f>
        <v>12</v>
      </c>
      <c r="BE27" s="50">
        <f t="shared" si="21"/>
        <v>520407.07199999999</v>
      </c>
      <c r="BF27" s="51">
        <f t="shared" si="22"/>
        <v>520407.07199999999</v>
      </c>
      <c r="BH27" s="198">
        <f>Maintenance!$A58</f>
        <v>2034</v>
      </c>
      <c r="BI27" s="201">
        <f>Maintenance!$B58</f>
        <v>12</v>
      </c>
      <c r="BJ27" s="50"/>
      <c r="BK27" s="51">
        <f t="shared" si="10"/>
        <v>0</v>
      </c>
      <c r="BM27" s="198">
        <f>Maintenance!$A58</f>
        <v>2034</v>
      </c>
      <c r="BN27" s="201">
        <f>Maintenance!$B58</f>
        <v>12</v>
      </c>
      <c r="BO27" s="277">
        <f>Maintenance!$B58</f>
        <v>12</v>
      </c>
      <c r="BP27" s="50"/>
      <c r="BQ27" s="51">
        <f t="shared" si="11"/>
        <v>0</v>
      </c>
      <c r="BS27" s="63"/>
      <c r="BU27" s="198">
        <f>Maintenance!$A58</f>
        <v>2034</v>
      </c>
      <c r="BV27" s="201">
        <f>Maintenance!$B58</f>
        <v>12</v>
      </c>
      <c r="BW27" s="13"/>
      <c r="BX27" s="81">
        <f>Maintenance!F58</f>
        <v>0</v>
      </c>
      <c r="BZ27" s="198">
        <f>Maintenance!$A58</f>
        <v>2034</v>
      </c>
      <c r="CA27" s="201">
        <f>Maintenance!$B58</f>
        <v>12</v>
      </c>
      <c r="CB27" s="50">
        <f t="shared" si="12"/>
        <v>0</v>
      </c>
      <c r="CC27" s="51">
        <v>0</v>
      </c>
      <c r="CE27" s="198">
        <f>Maintenance!$A58</f>
        <v>2034</v>
      </c>
      <c r="CF27" s="201">
        <f>Maintenance!$B58</f>
        <v>12</v>
      </c>
      <c r="CG27" s="153"/>
      <c r="CH27" s="51">
        <f t="shared" si="23"/>
        <v>0</v>
      </c>
      <c r="CJ27" s="198">
        <f>Maintenance!$A58</f>
        <v>2034</v>
      </c>
      <c r="CK27" s="201">
        <f>Maintenance!$B58</f>
        <v>12</v>
      </c>
      <c r="CL27" s="277">
        <f>Maintenance!$B58</f>
        <v>12</v>
      </c>
      <c r="CM27" s="50"/>
      <c r="CN27" s="51">
        <f t="shared" si="4"/>
        <v>0</v>
      </c>
      <c r="CP27" s="63"/>
      <c r="CR27" s="198">
        <f>Maintenance!$A58</f>
        <v>2034</v>
      </c>
      <c r="CS27" s="277">
        <f>Maintenance!$B58</f>
        <v>12</v>
      </c>
      <c r="CT27" s="13"/>
      <c r="CU27" s="81"/>
      <c r="CV27">
        <v>11</v>
      </c>
      <c r="CW27" s="198">
        <f>Maintenance!$A58</f>
        <v>2034</v>
      </c>
      <c r="CX27" s="277">
        <f>Maintenance!$B58</f>
        <v>12</v>
      </c>
      <c r="CY27" s="50">
        <f t="shared" si="2"/>
        <v>0</v>
      </c>
      <c r="CZ27" s="51">
        <v>0</v>
      </c>
      <c r="DB27" s="198">
        <f>Maintenance!$A58</f>
        <v>2034</v>
      </c>
      <c r="DC27" s="277">
        <f>Maintenance!$B58</f>
        <v>12</v>
      </c>
      <c r="DD27" s="153"/>
      <c r="DE27" s="51">
        <f t="shared" si="3"/>
        <v>0</v>
      </c>
      <c r="DG27" s="198">
        <f>Maintenance!$A58</f>
        <v>2034</v>
      </c>
      <c r="DH27" s="277">
        <f>Maintenance!$B58</f>
        <v>12</v>
      </c>
      <c r="DI27" s="277">
        <f>Maintenance!$B58</f>
        <v>12</v>
      </c>
      <c r="DJ27" s="50"/>
      <c r="DK27" s="51">
        <f t="shared" si="5"/>
        <v>0</v>
      </c>
    </row>
    <row r="28" spans="1:115" ht="15.75" customHeight="1">
      <c r="A28" s="198">
        <f>Maintenance!$A59</f>
        <v>2035</v>
      </c>
      <c r="B28" s="198">
        <f>Maintenance!$B59</f>
        <v>13</v>
      </c>
      <c r="C28" s="50">
        <f t="shared" si="13"/>
        <v>3140087.8824999998</v>
      </c>
      <c r="D28" s="51">
        <f t="shared" si="14"/>
        <v>3140087.8824999998</v>
      </c>
      <c r="F28" s="198">
        <f>Maintenance!$A59</f>
        <v>2035</v>
      </c>
      <c r="G28" s="193">
        <f>Maintenance!$B59</f>
        <v>13</v>
      </c>
      <c r="H28" s="50"/>
      <c r="I28" s="51">
        <f t="shared" si="6"/>
        <v>0</v>
      </c>
      <c r="K28" s="198">
        <f>Maintenance!$A59</f>
        <v>2035</v>
      </c>
      <c r="L28" s="195">
        <f>Maintenance!$B59</f>
        <v>13</v>
      </c>
      <c r="M28" s="195">
        <f>Maintenance!$B59</f>
        <v>13</v>
      </c>
      <c r="N28" s="50"/>
      <c r="O28" s="51">
        <f t="shared" si="7"/>
        <v>0</v>
      </c>
      <c r="Q28" s="63"/>
      <c r="S28" s="198">
        <f>Maintenance!$A59</f>
        <v>2035</v>
      </c>
      <c r="T28" s="160">
        <f>Maintenance!$B59</f>
        <v>13</v>
      </c>
      <c r="U28" s="50">
        <f t="shared" si="15"/>
        <v>6714730.3870036844</v>
      </c>
      <c r="V28" s="51">
        <f t="shared" si="16"/>
        <v>7136413.5512932288</v>
      </c>
      <c r="X28" s="198">
        <f>Maintenance!$A59</f>
        <v>2035</v>
      </c>
      <c r="Y28" s="195">
        <f>Maintenance!$B59</f>
        <v>13</v>
      </c>
      <c r="Z28" s="50"/>
      <c r="AA28" s="51">
        <f t="shared" si="17"/>
        <v>-421683.16428954434</v>
      </c>
      <c r="AC28" s="198">
        <f>Maintenance!$A59</f>
        <v>2035</v>
      </c>
      <c r="AD28" s="70">
        <f>Maintenance!$B59</f>
        <v>13</v>
      </c>
      <c r="AE28" s="96">
        <f>Maintenance!$B59</f>
        <v>13</v>
      </c>
      <c r="AF28" s="50"/>
      <c r="AG28" s="51">
        <f t="shared" si="8"/>
        <v>-174983.52145330227</v>
      </c>
      <c r="AI28" s="63"/>
      <c r="AK28" s="198">
        <f>Maintenance!$A59</f>
        <v>2035</v>
      </c>
      <c r="AL28" s="160">
        <f>Maintenance!$B59</f>
        <v>13</v>
      </c>
      <c r="AM28" s="50">
        <f t="shared" si="18"/>
        <v>1669506.7430390345</v>
      </c>
      <c r="AN28" s="51">
        <f t="shared" si="19"/>
        <v>951536.65205453255</v>
      </c>
      <c r="AP28" s="198">
        <f>Maintenance!$A59</f>
        <v>2035</v>
      </c>
      <c r="AQ28" s="18">
        <f>Maintenance!$B59</f>
        <v>13</v>
      </c>
      <c r="AR28" s="50"/>
      <c r="AS28" s="51">
        <f t="shared" si="20"/>
        <v>717970.09098450199</v>
      </c>
      <c r="AU28" s="198">
        <f>Maintenance!$A59</f>
        <v>2035</v>
      </c>
      <c r="AV28" s="201">
        <f>Maintenance!$B59</f>
        <v>13</v>
      </c>
      <c r="AW28" s="160">
        <f>Maintenance!$B59</f>
        <v>13</v>
      </c>
      <c r="AX28" s="50"/>
      <c r="AY28" s="51">
        <f t="shared" si="9"/>
        <v>297932.06240586698</v>
      </c>
      <c r="BA28" s="63"/>
      <c r="BC28" s="198">
        <f>Maintenance!$A59</f>
        <v>2035</v>
      </c>
      <c r="BD28" s="201">
        <f>Maintenance!$B59</f>
        <v>13</v>
      </c>
      <c r="BE28" s="50">
        <f t="shared" si="21"/>
        <v>524490.98399999994</v>
      </c>
      <c r="BF28" s="51">
        <f t="shared" si="22"/>
        <v>524490.98399999994</v>
      </c>
      <c r="BH28" s="198">
        <f>Maintenance!$A59</f>
        <v>2035</v>
      </c>
      <c r="BI28" s="201">
        <f>Maintenance!$B59</f>
        <v>13</v>
      </c>
      <c r="BJ28" s="50"/>
      <c r="BK28" s="51">
        <f t="shared" si="10"/>
        <v>0</v>
      </c>
      <c r="BM28" s="198">
        <f>Maintenance!$A59</f>
        <v>2035</v>
      </c>
      <c r="BN28" s="201">
        <f>Maintenance!$B59</f>
        <v>13</v>
      </c>
      <c r="BO28" s="277">
        <f>Maintenance!$B59</f>
        <v>13</v>
      </c>
      <c r="BP28" s="50"/>
      <c r="BQ28" s="51">
        <f t="shared" si="11"/>
        <v>0</v>
      </c>
      <c r="BS28" s="63"/>
      <c r="BU28" s="198">
        <f>Maintenance!$A59</f>
        <v>2035</v>
      </c>
      <c r="BV28" s="201">
        <f>Maintenance!$B59</f>
        <v>13</v>
      </c>
      <c r="BW28" s="13"/>
      <c r="BX28" s="81">
        <f>Maintenance!F59</f>
        <v>0</v>
      </c>
      <c r="BZ28" s="198">
        <f>Maintenance!$A59</f>
        <v>2035</v>
      </c>
      <c r="CA28" s="201">
        <f>Maintenance!$B59</f>
        <v>13</v>
      </c>
      <c r="CB28" s="50">
        <f t="shared" si="12"/>
        <v>0</v>
      </c>
      <c r="CC28" s="51">
        <v>0</v>
      </c>
      <c r="CE28" s="198">
        <f>Maintenance!$A59</f>
        <v>2035</v>
      </c>
      <c r="CF28" s="201">
        <f>Maintenance!$B59</f>
        <v>13</v>
      </c>
      <c r="CG28" s="153"/>
      <c r="CH28" s="51">
        <f t="shared" si="23"/>
        <v>0</v>
      </c>
      <c r="CJ28" s="198">
        <f>Maintenance!$A59</f>
        <v>2035</v>
      </c>
      <c r="CK28" s="201">
        <f>Maintenance!$B59</f>
        <v>13</v>
      </c>
      <c r="CL28" s="277">
        <f>Maintenance!$B59</f>
        <v>13</v>
      </c>
      <c r="CM28" s="50"/>
      <c r="CN28" s="51">
        <f t="shared" si="4"/>
        <v>0</v>
      </c>
      <c r="CP28" s="63"/>
      <c r="CR28" s="198">
        <f>Maintenance!$A59</f>
        <v>2035</v>
      </c>
      <c r="CS28" s="277">
        <f>Maintenance!$B59</f>
        <v>13</v>
      </c>
      <c r="CT28" s="13" t="s">
        <v>310</v>
      </c>
      <c r="CU28" s="81">
        <v>4277000</v>
      </c>
      <c r="CV28">
        <v>12</v>
      </c>
      <c r="CW28" s="198">
        <f>Maintenance!$A59</f>
        <v>2035</v>
      </c>
      <c r="CX28" s="277">
        <f>Maintenance!$B59</f>
        <v>13</v>
      </c>
      <c r="CY28" s="50">
        <f t="shared" si="2"/>
        <v>4277000</v>
      </c>
      <c r="CZ28" s="51">
        <v>0</v>
      </c>
      <c r="DB28" s="198">
        <f>Maintenance!$A59</f>
        <v>2035</v>
      </c>
      <c r="DC28" s="277">
        <f>Maintenance!$B59</f>
        <v>13</v>
      </c>
      <c r="DD28" s="153"/>
      <c r="DE28" s="51">
        <f t="shared" si="3"/>
        <v>4277000</v>
      </c>
      <c r="DG28" s="198">
        <f>Maintenance!$A59</f>
        <v>2035</v>
      </c>
      <c r="DH28" s="277">
        <f>Maintenance!$B59</f>
        <v>13</v>
      </c>
      <c r="DI28" s="277">
        <f>Maintenance!$B59</f>
        <v>13</v>
      </c>
      <c r="DJ28" s="50"/>
      <c r="DK28" s="51">
        <f t="shared" si="5"/>
        <v>1774802.9436192752</v>
      </c>
    </row>
    <row r="29" spans="1:115">
      <c r="A29" s="198">
        <f>Maintenance!$A60</f>
        <v>2036</v>
      </c>
      <c r="B29" s="198">
        <f>Maintenance!$B60</f>
        <v>14</v>
      </c>
      <c r="C29" s="50">
        <f t="shared" si="13"/>
        <v>3164537.9549999996</v>
      </c>
      <c r="D29" s="51">
        <f t="shared" si="14"/>
        <v>3164537.9549999996</v>
      </c>
      <c r="F29" s="198">
        <f>Maintenance!$A60</f>
        <v>2036</v>
      </c>
      <c r="G29" s="193">
        <f>Maintenance!$B60</f>
        <v>14</v>
      </c>
      <c r="H29" s="50"/>
      <c r="I29" s="51">
        <f t="shared" si="6"/>
        <v>0</v>
      </c>
      <c r="K29" s="198">
        <f>Maintenance!$A60</f>
        <v>2036</v>
      </c>
      <c r="L29" s="195">
        <f>Maintenance!$B60</f>
        <v>14</v>
      </c>
      <c r="M29" s="195">
        <f>Maintenance!$B60</f>
        <v>14</v>
      </c>
      <c r="N29" s="50"/>
      <c r="O29" s="51">
        <f t="shared" si="7"/>
        <v>0</v>
      </c>
      <c r="Q29" s="63"/>
      <c r="S29" s="198">
        <f>Maintenance!$A60</f>
        <v>2036</v>
      </c>
      <c r="T29" s="160">
        <f>Maintenance!$B60</f>
        <v>14</v>
      </c>
      <c r="U29" s="50">
        <f t="shared" si="15"/>
        <v>6772436.2745712567</v>
      </c>
      <c r="V29" s="51">
        <f t="shared" si="16"/>
        <v>7202824.9587320443</v>
      </c>
      <c r="X29" s="198">
        <f>Maintenance!$A60</f>
        <v>2036</v>
      </c>
      <c r="Y29" s="195">
        <f>Maintenance!$B60</f>
        <v>14</v>
      </c>
      <c r="Z29" s="50"/>
      <c r="AA29" s="51">
        <f t="shared" si="17"/>
        <v>-430388.68416078761</v>
      </c>
      <c r="AC29" s="198">
        <f>Maintenance!$A60</f>
        <v>2036</v>
      </c>
      <c r="AD29" s="70">
        <f>Maintenance!$B60</f>
        <v>14</v>
      </c>
      <c r="AE29" s="96">
        <f>Maintenance!$B60</f>
        <v>14</v>
      </c>
      <c r="AF29" s="50"/>
      <c r="AG29" s="51">
        <f t="shared" si="8"/>
        <v>-166912.1520563135</v>
      </c>
      <c r="AI29" s="63"/>
      <c r="AK29" s="198">
        <f>Maintenance!$A60</f>
        <v>2036</v>
      </c>
      <c r="AL29" s="160">
        <f>Maintenance!$B60</f>
        <v>14</v>
      </c>
      <c r="AM29" s="50">
        <f t="shared" si="18"/>
        <v>1671993.4155804988</v>
      </c>
      <c r="AN29" s="51">
        <f t="shared" si="19"/>
        <v>952953.93298180425</v>
      </c>
      <c r="AP29" s="198">
        <f>Maintenance!$A60</f>
        <v>2036</v>
      </c>
      <c r="AQ29" s="18">
        <f>Maintenance!$B60</f>
        <v>14</v>
      </c>
      <c r="AR29" s="50"/>
      <c r="AS29" s="51">
        <f t="shared" si="20"/>
        <v>719039.48259869451</v>
      </c>
      <c r="AU29" s="198">
        <f>Maintenance!$A60</f>
        <v>2036</v>
      </c>
      <c r="AV29" s="201">
        <f>Maintenance!$B60</f>
        <v>14</v>
      </c>
      <c r="AW29" s="160">
        <f>Maintenance!$B60</f>
        <v>14</v>
      </c>
      <c r="AX29" s="50"/>
      <c r="AY29" s="51">
        <f t="shared" si="9"/>
        <v>278855.90832395048</v>
      </c>
      <c r="BA29" s="63"/>
      <c r="BC29" s="198">
        <f>Maintenance!$A60</f>
        <v>2036</v>
      </c>
      <c r="BD29" s="201">
        <f>Maintenance!$B60</f>
        <v>14</v>
      </c>
      <c r="BE29" s="50">
        <f t="shared" si="21"/>
        <v>528574.89599999995</v>
      </c>
      <c r="BF29" s="51">
        <f t="shared" si="22"/>
        <v>528574.89599999995</v>
      </c>
      <c r="BH29" s="198">
        <f>Maintenance!$A60</f>
        <v>2036</v>
      </c>
      <c r="BI29" s="201">
        <f>Maintenance!$B60</f>
        <v>14</v>
      </c>
      <c r="BJ29" s="50"/>
      <c r="BK29" s="51">
        <f t="shared" si="10"/>
        <v>0</v>
      </c>
      <c r="BM29" s="198">
        <f>Maintenance!$A60</f>
        <v>2036</v>
      </c>
      <c r="BN29" s="201">
        <f>Maintenance!$B60</f>
        <v>14</v>
      </c>
      <c r="BO29" s="277">
        <f>Maintenance!$B60</f>
        <v>14</v>
      </c>
      <c r="BP29" s="50"/>
      <c r="BQ29" s="51">
        <f t="shared" si="11"/>
        <v>0</v>
      </c>
      <c r="BS29" s="63"/>
      <c r="BU29" s="198">
        <f>Maintenance!$A60</f>
        <v>2036</v>
      </c>
      <c r="BV29" s="201">
        <f>Maintenance!$B60</f>
        <v>14</v>
      </c>
      <c r="BW29" s="13"/>
      <c r="BX29" s="81">
        <f>Maintenance!F60</f>
        <v>0</v>
      </c>
      <c r="BZ29" s="198">
        <f>Maintenance!$A60</f>
        <v>2036</v>
      </c>
      <c r="CA29" s="201">
        <f>Maintenance!$B60</f>
        <v>14</v>
      </c>
      <c r="CB29" s="50">
        <f t="shared" si="12"/>
        <v>0</v>
      </c>
      <c r="CC29" s="51">
        <v>0</v>
      </c>
      <c r="CE29" s="198">
        <f>Maintenance!$A60</f>
        <v>2036</v>
      </c>
      <c r="CF29" s="201">
        <f>Maintenance!$B60</f>
        <v>14</v>
      </c>
      <c r="CG29" s="153"/>
      <c r="CH29" s="51">
        <f t="shared" si="23"/>
        <v>0</v>
      </c>
      <c r="CJ29" s="198">
        <f>Maintenance!$A60</f>
        <v>2036</v>
      </c>
      <c r="CK29" s="201">
        <f>Maintenance!$B60</f>
        <v>14</v>
      </c>
      <c r="CL29" s="277">
        <f>Maintenance!$B60</f>
        <v>14</v>
      </c>
      <c r="CM29" s="50"/>
      <c r="CN29" s="51">
        <f t="shared" si="4"/>
        <v>0</v>
      </c>
      <c r="CP29" s="63"/>
      <c r="CR29" s="198">
        <f>Maintenance!$A60</f>
        <v>2036</v>
      </c>
      <c r="CS29" s="277">
        <f>Maintenance!$B60</f>
        <v>14</v>
      </c>
      <c r="CT29" s="13"/>
      <c r="CU29" s="81"/>
      <c r="CV29">
        <v>13</v>
      </c>
      <c r="CW29" s="198">
        <f>Maintenance!$A60</f>
        <v>2036</v>
      </c>
      <c r="CX29" s="277">
        <f>Maintenance!$B60</f>
        <v>14</v>
      </c>
      <c r="CY29" s="50">
        <f t="shared" si="2"/>
        <v>0</v>
      </c>
      <c r="CZ29" s="51">
        <v>0</v>
      </c>
      <c r="DB29" s="198">
        <f>Maintenance!$A60</f>
        <v>2036</v>
      </c>
      <c r="DC29" s="277">
        <f>Maintenance!$B60</f>
        <v>14</v>
      </c>
      <c r="DD29" s="153"/>
      <c r="DE29" s="51">
        <f t="shared" si="3"/>
        <v>0</v>
      </c>
      <c r="DG29" s="198">
        <f>Maintenance!$A60</f>
        <v>2036</v>
      </c>
      <c r="DH29" s="277">
        <f>Maintenance!$B60</f>
        <v>14</v>
      </c>
      <c r="DI29" s="277">
        <f>Maintenance!$B60</f>
        <v>14</v>
      </c>
      <c r="DJ29" s="50"/>
      <c r="DK29" s="51">
        <f t="shared" si="5"/>
        <v>0</v>
      </c>
    </row>
    <row r="30" spans="1:115">
      <c r="A30" s="198">
        <f>Maintenance!$A61</f>
        <v>2037</v>
      </c>
      <c r="B30" s="198">
        <f>Maintenance!$B61</f>
        <v>15</v>
      </c>
      <c r="C30" s="50">
        <f t="shared" si="13"/>
        <v>3188988.0274999999</v>
      </c>
      <c r="D30" s="51">
        <f t="shared" si="14"/>
        <v>3188988.0274999999</v>
      </c>
      <c r="F30" s="198">
        <f>Maintenance!$A61</f>
        <v>2037</v>
      </c>
      <c r="G30" s="193">
        <f>Maintenance!$B61</f>
        <v>15</v>
      </c>
      <c r="H30" s="50"/>
      <c r="I30" s="51">
        <f t="shared" si="6"/>
        <v>0</v>
      </c>
      <c r="K30" s="198">
        <f>Maintenance!$A61</f>
        <v>2037</v>
      </c>
      <c r="L30" s="195">
        <f>Maintenance!$B61</f>
        <v>15</v>
      </c>
      <c r="M30" s="195">
        <f>Maintenance!$B61</f>
        <v>15</v>
      </c>
      <c r="N30" s="50"/>
      <c r="O30" s="51">
        <f t="shared" si="7"/>
        <v>0</v>
      </c>
      <c r="Q30" s="63"/>
      <c r="S30" s="198">
        <f>Maintenance!$A61</f>
        <v>2037</v>
      </c>
      <c r="T30" s="160">
        <f>Maintenance!$B61</f>
        <v>15</v>
      </c>
      <c r="U30" s="50">
        <f t="shared" si="15"/>
        <v>6830142.1621388281</v>
      </c>
      <c r="V30" s="51">
        <f t="shared" si="16"/>
        <v>7269236.3661708599</v>
      </c>
      <c r="X30" s="198">
        <f>Maintenance!$A61</f>
        <v>2037</v>
      </c>
      <c r="Y30" s="195">
        <f>Maintenance!$B61</f>
        <v>15</v>
      </c>
      <c r="Z30" s="50"/>
      <c r="AA30" s="51">
        <f t="shared" si="17"/>
        <v>-439094.20403203182</v>
      </c>
      <c r="AC30" s="198">
        <f>Maintenance!$A61</f>
        <v>2037</v>
      </c>
      <c r="AD30" s="70">
        <f>Maintenance!$B61</f>
        <v>15</v>
      </c>
      <c r="AE30" s="96">
        <f>Maintenance!$B61</f>
        <v>15</v>
      </c>
      <c r="AF30" s="50"/>
      <c r="AG30" s="51">
        <f t="shared" si="8"/>
        <v>-159147.94649944009</v>
      </c>
      <c r="AI30" s="63"/>
      <c r="AK30" s="198">
        <f>Maintenance!$A61</f>
        <v>2037</v>
      </c>
      <c r="AL30" s="160">
        <f>Maintenance!$B61</f>
        <v>15</v>
      </c>
      <c r="AM30" s="50">
        <f t="shared" si="18"/>
        <v>1674480.0881219627</v>
      </c>
      <c r="AN30" s="51">
        <f t="shared" si="19"/>
        <v>954371.21390907606</v>
      </c>
      <c r="AP30" s="198">
        <f>Maintenance!$A61</f>
        <v>2037</v>
      </c>
      <c r="AQ30" s="18">
        <f>Maintenance!$B61</f>
        <v>15</v>
      </c>
      <c r="AR30" s="50"/>
      <c r="AS30" s="51">
        <f t="shared" si="20"/>
        <v>720108.87421288667</v>
      </c>
      <c r="AU30" s="198">
        <f>Maintenance!$A61</f>
        <v>2037</v>
      </c>
      <c r="AV30" s="201">
        <f>Maintenance!$B61</f>
        <v>15</v>
      </c>
      <c r="AW30" s="160">
        <f>Maintenance!$B61</f>
        <v>15</v>
      </c>
      <c r="AX30" s="50"/>
      <c r="AY30" s="51">
        <f t="shared" si="9"/>
        <v>261000.59516760142</v>
      </c>
      <c r="BA30" s="63"/>
      <c r="BC30" s="198">
        <f>Maintenance!$A61</f>
        <v>2037</v>
      </c>
      <c r="BD30" s="201">
        <f>Maintenance!$B61</f>
        <v>15</v>
      </c>
      <c r="BE30" s="50">
        <f t="shared" si="21"/>
        <v>532658.80799999996</v>
      </c>
      <c r="BF30" s="51">
        <f t="shared" si="22"/>
        <v>532658.80799999996</v>
      </c>
      <c r="BH30" s="198">
        <f>Maintenance!$A61</f>
        <v>2037</v>
      </c>
      <c r="BI30" s="201">
        <f>Maintenance!$B61</f>
        <v>15</v>
      </c>
      <c r="BJ30" s="50"/>
      <c r="BK30" s="51">
        <f t="shared" si="10"/>
        <v>0</v>
      </c>
      <c r="BM30" s="198">
        <f>Maintenance!$A61</f>
        <v>2037</v>
      </c>
      <c r="BN30" s="201">
        <f>Maintenance!$B61</f>
        <v>15</v>
      </c>
      <c r="BO30" s="277">
        <f>Maintenance!$B61</f>
        <v>15</v>
      </c>
      <c r="BP30" s="50"/>
      <c r="BQ30" s="51">
        <f t="shared" si="11"/>
        <v>0</v>
      </c>
      <c r="BS30" s="63"/>
      <c r="BU30" s="198">
        <f>Maintenance!$A61</f>
        <v>2037</v>
      </c>
      <c r="BV30" s="201">
        <f>Maintenance!$B61</f>
        <v>15</v>
      </c>
      <c r="BW30" s="13"/>
      <c r="BX30" s="81">
        <f>Maintenance!F61</f>
        <v>0</v>
      </c>
      <c r="BZ30" s="198">
        <f>Maintenance!$A61</f>
        <v>2037</v>
      </c>
      <c r="CA30" s="201">
        <f>Maintenance!$B61</f>
        <v>15</v>
      </c>
      <c r="CB30" s="50">
        <f t="shared" si="12"/>
        <v>0</v>
      </c>
      <c r="CC30" s="51">
        <v>0</v>
      </c>
      <c r="CE30" s="198">
        <f>Maintenance!$A61</f>
        <v>2037</v>
      </c>
      <c r="CF30" s="201">
        <f>Maintenance!$B61</f>
        <v>15</v>
      </c>
      <c r="CG30" s="153"/>
      <c r="CH30" s="51">
        <f t="shared" si="23"/>
        <v>0</v>
      </c>
      <c r="CJ30" s="198">
        <f>Maintenance!$A61</f>
        <v>2037</v>
      </c>
      <c r="CK30" s="201">
        <f>Maintenance!$B61</f>
        <v>15</v>
      </c>
      <c r="CL30" s="277">
        <f>Maintenance!$B61</f>
        <v>15</v>
      </c>
      <c r="CM30" s="50"/>
      <c r="CN30" s="51">
        <f t="shared" si="4"/>
        <v>0</v>
      </c>
      <c r="CP30" s="63"/>
      <c r="CR30" s="198">
        <f>Maintenance!$A61</f>
        <v>2037</v>
      </c>
      <c r="CS30" s="277">
        <f>Maintenance!$B61</f>
        <v>15</v>
      </c>
      <c r="CT30" s="13"/>
      <c r="CU30" s="81"/>
      <c r="CV30">
        <v>14</v>
      </c>
      <c r="CW30" s="198">
        <f>Maintenance!$A61</f>
        <v>2037</v>
      </c>
      <c r="CX30" s="277">
        <f>Maintenance!$B61</f>
        <v>15</v>
      </c>
      <c r="CY30" s="50">
        <f t="shared" si="2"/>
        <v>0</v>
      </c>
      <c r="CZ30" s="51">
        <v>0</v>
      </c>
      <c r="DB30" s="198">
        <f>Maintenance!$A61</f>
        <v>2037</v>
      </c>
      <c r="DC30" s="277">
        <f>Maintenance!$B61</f>
        <v>15</v>
      </c>
      <c r="DD30" s="153"/>
      <c r="DE30" s="51">
        <f t="shared" si="3"/>
        <v>0</v>
      </c>
      <c r="DG30" s="198">
        <f>Maintenance!$A61</f>
        <v>2037</v>
      </c>
      <c r="DH30" s="277">
        <f>Maintenance!$B61</f>
        <v>15</v>
      </c>
      <c r="DI30" s="277">
        <f>Maintenance!$B61</f>
        <v>15</v>
      </c>
      <c r="DJ30" s="50"/>
      <c r="DK30" s="51">
        <f t="shared" si="5"/>
        <v>0</v>
      </c>
    </row>
    <row r="31" spans="1:115">
      <c r="A31" s="198">
        <f>Maintenance!$A62</f>
        <v>2038</v>
      </c>
      <c r="B31" s="198">
        <f>Maintenance!$B62</f>
        <v>16</v>
      </c>
      <c r="C31" s="50">
        <f t="shared" si="13"/>
        <v>3213438.0999999996</v>
      </c>
      <c r="D31" s="51">
        <f t="shared" si="14"/>
        <v>3213438.0999999996</v>
      </c>
      <c r="F31" s="198">
        <f>Maintenance!$A62</f>
        <v>2038</v>
      </c>
      <c r="G31" s="193">
        <f>Maintenance!$B62</f>
        <v>16</v>
      </c>
      <c r="H31" s="50"/>
      <c r="I31" s="51">
        <f t="shared" si="6"/>
        <v>0</v>
      </c>
      <c r="K31" s="198">
        <f>Maintenance!$A62</f>
        <v>2038</v>
      </c>
      <c r="L31" s="195">
        <f>Maintenance!$B62</f>
        <v>16</v>
      </c>
      <c r="M31" s="195">
        <f>Maintenance!$B62</f>
        <v>16</v>
      </c>
      <c r="N31" s="50"/>
      <c r="O31" s="51">
        <f t="shared" si="7"/>
        <v>0</v>
      </c>
      <c r="Q31" s="63"/>
      <c r="S31" s="198">
        <f>Maintenance!$A62</f>
        <v>2038</v>
      </c>
      <c r="T31" s="160">
        <f>Maintenance!$B62</f>
        <v>16</v>
      </c>
      <c r="U31" s="50">
        <f t="shared" si="15"/>
        <v>6887848.0497064004</v>
      </c>
      <c r="V31" s="51">
        <f t="shared" si="16"/>
        <v>7335647.7736096755</v>
      </c>
      <c r="X31" s="198">
        <f>Maintenance!$A62</f>
        <v>2038</v>
      </c>
      <c r="Y31" s="195">
        <f>Maintenance!$B62</f>
        <v>16</v>
      </c>
      <c r="Z31" s="50"/>
      <c r="AA31" s="51">
        <f t="shared" si="17"/>
        <v>-447799.72390327509</v>
      </c>
      <c r="AC31" s="198">
        <f>Maintenance!$A62</f>
        <v>2038</v>
      </c>
      <c r="AD31" s="70">
        <f>Maintenance!$B62</f>
        <v>16</v>
      </c>
      <c r="AE31" s="96">
        <f>Maintenance!$B62</f>
        <v>16</v>
      </c>
      <c r="AF31" s="50"/>
      <c r="AG31" s="51">
        <f t="shared" si="8"/>
        <v>-151685.25936980348</v>
      </c>
      <c r="AI31" s="63"/>
      <c r="AK31" s="198">
        <f>Maintenance!$A62</f>
        <v>2038</v>
      </c>
      <c r="AL31" s="160">
        <f>Maintenance!$B62</f>
        <v>16</v>
      </c>
      <c r="AM31" s="50">
        <f t="shared" si="18"/>
        <v>1676966.7606634269</v>
      </c>
      <c r="AN31" s="51">
        <f t="shared" si="19"/>
        <v>955788.49483634776</v>
      </c>
      <c r="AP31" s="198">
        <f>Maintenance!$A62</f>
        <v>2038</v>
      </c>
      <c r="AQ31" s="18">
        <f>Maintenance!$B62</f>
        <v>16</v>
      </c>
      <c r="AR31" s="50"/>
      <c r="AS31" s="51">
        <f t="shared" si="20"/>
        <v>721178.26582707919</v>
      </c>
      <c r="AU31" s="198">
        <f>Maintenance!$A62</f>
        <v>2038</v>
      </c>
      <c r="AV31" s="201">
        <f>Maintenance!$B62</f>
        <v>16</v>
      </c>
      <c r="AW31" s="160">
        <f>Maintenance!$B62</f>
        <v>16</v>
      </c>
      <c r="AX31" s="50"/>
      <c r="AY31" s="51">
        <f t="shared" si="9"/>
        <v>244288.0298145836</v>
      </c>
      <c r="BA31" s="63"/>
      <c r="BC31" s="198">
        <f>Maintenance!$A62</f>
        <v>2038</v>
      </c>
      <c r="BD31" s="201">
        <f>Maintenance!$B62</f>
        <v>16</v>
      </c>
      <c r="BE31" s="50">
        <f t="shared" si="21"/>
        <v>536742.72</v>
      </c>
      <c r="BF31" s="51">
        <f t="shared" si="22"/>
        <v>536742.72</v>
      </c>
      <c r="BH31" s="198">
        <f>Maintenance!$A62</f>
        <v>2038</v>
      </c>
      <c r="BI31" s="201">
        <f>Maintenance!$B62</f>
        <v>16</v>
      </c>
      <c r="BJ31" s="50"/>
      <c r="BK31" s="51">
        <f t="shared" si="10"/>
        <v>0</v>
      </c>
      <c r="BM31" s="198">
        <f>Maintenance!$A62</f>
        <v>2038</v>
      </c>
      <c r="BN31" s="201">
        <f>Maintenance!$B62</f>
        <v>16</v>
      </c>
      <c r="BO31" s="277">
        <f>Maintenance!$B62</f>
        <v>16</v>
      </c>
      <c r="BP31" s="50"/>
      <c r="BQ31" s="51">
        <f t="shared" si="11"/>
        <v>0</v>
      </c>
      <c r="BS31" s="63"/>
      <c r="BU31" s="198">
        <f>Maintenance!$A62</f>
        <v>2038</v>
      </c>
      <c r="BV31" s="201">
        <f>Maintenance!$B62</f>
        <v>16</v>
      </c>
      <c r="BW31" s="13"/>
      <c r="BX31" s="81">
        <f>Maintenance!F62</f>
        <v>0</v>
      </c>
      <c r="BZ31" s="198">
        <f>Maintenance!$A62</f>
        <v>2038</v>
      </c>
      <c r="CA31" s="201">
        <f>Maintenance!$B62</f>
        <v>16</v>
      </c>
      <c r="CB31" s="50">
        <f t="shared" si="12"/>
        <v>0</v>
      </c>
      <c r="CC31" s="51">
        <v>0</v>
      </c>
      <c r="CE31" s="198">
        <f>Maintenance!$A62</f>
        <v>2038</v>
      </c>
      <c r="CF31" s="201">
        <f>Maintenance!$B62</f>
        <v>16</v>
      </c>
      <c r="CG31" s="153"/>
      <c r="CH31" s="51">
        <f t="shared" si="23"/>
        <v>0</v>
      </c>
      <c r="CJ31" s="198">
        <f>Maintenance!$A62</f>
        <v>2038</v>
      </c>
      <c r="CK31" s="201">
        <f>Maintenance!$B62</f>
        <v>16</v>
      </c>
      <c r="CL31" s="277">
        <f>Maintenance!$B62</f>
        <v>16</v>
      </c>
      <c r="CM31" s="50"/>
      <c r="CN31" s="51">
        <f t="shared" si="4"/>
        <v>0</v>
      </c>
      <c r="CP31" s="63"/>
      <c r="CR31" s="198">
        <f>Maintenance!$A62</f>
        <v>2038</v>
      </c>
      <c r="CS31" s="277">
        <f>Maintenance!$B62</f>
        <v>16</v>
      </c>
      <c r="CT31" s="13" t="s">
        <v>311</v>
      </c>
      <c r="CU31" s="81">
        <v>2337000</v>
      </c>
      <c r="CV31">
        <v>15</v>
      </c>
      <c r="CW31" s="198">
        <f>Maintenance!$A62</f>
        <v>2038</v>
      </c>
      <c r="CX31" s="277">
        <f>Maintenance!$B62</f>
        <v>16</v>
      </c>
      <c r="CY31" s="50">
        <f t="shared" si="2"/>
        <v>2337000</v>
      </c>
      <c r="CZ31" s="51">
        <v>0</v>
      </c>
      <c r="DB31" s="198">
        <f>Maintenance!$A62</f>
        <v>2038</v>
      </c>
      <c r="DC31" s="277">
        <f>Maintenance!$B62</f>
        <v>16</v>
      </c>
      <c r="DD31" s="153"/>
      <c r="DE31" s="51">
        <f t="shared" si="3"/>
        <v>2337000</v>
      </c>
      <c r="DG31" s="198">
        <f>Maintenance!$A62</f>
        <v>2038</v>
      </c>
      <c r="DH31" s="277">
        <f>Maintenance!$B62</f>
        <v>16</v>
      </c>
      <c r="DI31" s="277">
        <f>Maintenance!$B62</f>
        <v>16</v>
      </c>
      <c r="DJ31" s="50"/>
      <c r="DK31" s="51">
        <f t="shared" si="5"/>
        <v>791622.75505064917</v>
      </c>
    </row>
    <row r="32" spans="1:115">
      <c r="A32" s="198">
        <f>Maintenance!$A63</f>
        <v>2039</v>
      </c>
      <c r="B32" s="198">
        <f>Maintenance!$B63</f>
        <v>17</v>
      </c>
      <c r="C32" s="50">
        <f t="shared" si="13"/>
        <v>3237888.1724999999</v>
      </c>
      <c r="D32" s="51">
        <f t="shared" si="14"/>
        <v>3237888.1724999999</v>
      </c>
      <c r="F32" s="198">
        <f>Maintenance!$A63</f>
        <v>2039</v>
      </c>
      <c r="G32" s="193">
        <f>Maintenance!$B63</f>
        <v>17</v>
      </c>
      <c r="H32" s="50"/>
      <c r="I32" s="51">
        <f>C32-D32</f>
        <v>0</v>
      </c>
      <c r="K32" s="198">
        <f>Maintenance!$A63</f>
        <v>2039</v>
      </c>
      <c r="L32" s="195">
        <f>Maintenance!$B63</f>
        <v>17</v>
      </c>
      <c r="M32" s="195">
        <f>Maintenance!$B63</f>
        <v>17</v>
      </c>
      <c r="N32" s="50"/>
      <c r="O32" s="51">
        <f t="shared" si="7"/>
        <v>0</v>
      </c>
      <c r="Q32" s="63"/>
      <c r="S32" s="198">
        <f>Maintenance!$A63</f>
        <v>2039</v>
      </c>
      <c r="T32" s="160">
        <f>Maintenance!$B63</f>
        <v>17</v>
      </c>
      <c r="U32" s="50">
        <f t="shared" si="15"/>
        <v>6945553.9372739717</v>
      </c>
      <c r="V32" s="51">
        <f t="shared" si="16"/>
        <v>7402059.181048491</v>
      </c>
      <c r="X32" s="198">
        <f>Maintenance!$A63</f>
        <v>2039</v>
      </c>
      <c r="Y32" s="195">
        <f>Maintenance!$B63</f>
        <v>17</v>
      </c>
      <c r="Z32" s="50"/>
      <c r="AA32" s="51">
        <f t="shared" si="17"/>
        <v>-456505.2437745193</v>
      </c>
      <c r="AC32" s="198">
        <f>Maintenance!$A63</f>
        <v>2039</v>
      </c>
      <c r="AD32" s="70">
        <f>Maintenance!$B63</f>
        <v>17</v>
      </c>
      <c r="AE32" s="96">
        <f>Maintenance!$B63</f>
        <v>17</v>
      </c>
      <c r="AF32" s="50"/>
      <c r="AG32" s="51">
        <f t="shared" si="8"/>
        <v>-144517.86929158849</v>
      </c>
      <c r="AI32" s="63"/>
      <c r="AK32" s="198">
        <f>Maintenance!$A63</f>
        <v>2039</v>
      </c>
      <c r="AL32" s="160">
        <f>Maintenance!$B63</f>
        <v>17</v>
      </c>
      <c r="AM32" s="50">
        <f t="shared" si="18"/>
        <v>1679453.4332048912</v>
      </c>
      <c r="AN32" s="51">
        <f t="shared" si="19"/>
        <v>957205.77576361946</v>
      </c>
      <c r="AP32" s="198">
        <f>Maintenance!$A63</f>
        <v>2039</v>
      </c>
      <c r="AQ32" s="18">
        <f>Maintenance!$B63</f>
        <v>17</v>
      </c>
      <c r="AR32" s="50"/>
      <c r="AS32" s="51">
        <f t="shared" si="20"/>
        <v>722247.6574412717</v>
      </c>
      <c r="AU32" s="198">
        <f>Maintenance!$A63</f>
        <v>2039</v>
      </c>
      <c r="AV32" s="201">
        <f>Maintenance!$B63</f>
        <v>17</v>
      </c>
      <c r="AW32" s="160">
        <f>Maintenance!$B63</f>
        <v>17</v>
      </c>
      <c r="AX32" s="50"/>
      <c r="AY32" s="51">
        <f t="shared" si="9"/>
        <v>228645.11191860205</v>
      </c>
      <c r="BA32" s="63"/>
      <c r="BC32" s="198">
        <f>Maintenance!$A63</f>
        <v>2039</v>
      </c>
      <c r="BD32" s="201">
        <f>Maintenance!$B63</f>
        <v>17</v>
      </c>
      <c r="BE32" s="50">
        <f t="shared" si="21"/>
        <v>540826.63199999998</v>
      </c>
      <c r="BF32" s="51">
        <f t="shared" si="22"/>
        <v>540826.63199999998</v>
      </c>
      <c r="BH32" s="198">
        <f>Maintenance!$A63</f>
        <v>2039</v>
      </c>
      <c r="BI32" s="201">
        <f>Maintenance!$B63</f>
        <v>17</v>
      </c>
      <c r="BJ32" s="50"/>
      <c r="BK32" s="51">
        <f t="shared" si="10"/>
        <v>0</v>
      </c>
      <c r="BM32" s="198">
        <f>Maintenance!$A63</f>
        <v>2039</v>
      </c>
      <c r="BN32" s="201">
        <f>Maintenance!$B63</f>
        <v>17</v>
      </c>
      <c r="BO32" s="277">
        <f>Maintenance!$B63</f>
        <v>17</v>
      </c>
      <c r="BP32" s="50"/>
      <c r="BQ32" s="51">
        <f t="shared" si="11"/>
        <v>0</v>
      </c>
      <c r="BS32" s="63"/>
      <c r="BU32" s="198">
        <f>Maintenance!$A63</f>
        <v>2039</v>
      </c>
      <c r="BV32" s="201">
        <f>Maintenance!$B63</f>
        <v>17</v>
      </c>
      <c r="BW32" s="13"/>
      <c r="BX32" s="81">
        <f>Maintenance!F63</f>
        <v>0</v>
      </c>
      <c r="BZ32" s="198">
        <f>Maintenance!$A63</f>
        <v>2039</v>
      </c>
      <c r="CA32" s="201">
        <f>Maintenance!$B63</f>
        <v>17</v>
      </c>
      <c r="CB32" s="50">
        <f t="shared" si="12"/>
        <v>0</v>
      </c>
      <c r="CC32" s="51">
        <v>0</v>
      </c>
      <c r="CE32" s="198">
        <f>Maintenance!$A63</f>
        <v>2039</v>
      </c>
      <c r="CF32" s="201">
        <f>Maintenance!$B63</f>
        <v>17</v>
      </c>
      <c r="CG32" s="153"/>
      <c r="CH32" s="51">
        <f t="shared" si="23"/>
        <v>0</v>
      </c>
      <c r="CJ32" s="198">
        <f>Maintenance!$A63</f>
        <v>2039</v>
      </c>
      <c r="CK32" s="201">
        <f>Maintenance!$B63</f>
        <v>17</v>
      </c>
      <c r="CL32" s="277">
        <f>Maintenance!$B63</f>
        <v>17</v>
      </c>
      <c r="CM32" s="50"/>
      <c r="CN32" s="51">
        <f t="shared" si="4"/>
        <v>0</v>
      </c>
      <c r="CP32" s="63"/>
      <c r="CR32" s="198">
        <f>Maintenance!$A63</f>
        <v>2039</v>
      </c>
      <c r="CS32" s="277">
        <f>Maintenance!$B63</f>
        <v>17</v>
      </c>
      <c r="CT32" s="13"/>
      <c r="CU32" s="81"/>
      <c r="CV32">
        <v>16</v>
      </c>
      <c r="CW32" s="198">
        <f>Maintenance!$A63</f>
        <v>2039</v>
      </c>
      <c r="CX32" s="277">
        <f>Maintenance!$B63</f>
        <v>17</v>
      </c>
      <c r="CY32" s="50">
        <f t="shared" si="2"/>
        <v>0</v>
      </c>
      <c r="CZ32" s="51">
        <v>0</v>
      </c>
      <c r="DB32" s="198">
        <f>Maintenance!$A63</f>
        <v>2039</v>
      </c>
      <c r="DC32" s="277">
        <f>Maintenance!$B63</f>
        <v>17</v>
      </c>
      <c r="DD32" s="153"/>
      <c r="DE32" s="51">
        <f t="shared" si="3"/>
        <v>0</v>
      </c>
      <c r="DG32" s="198">
        <f>Maintenance!$A63</f>
        <v>2039</v>
      </c>
      <c r="DH32" s="277">
        <f>Maintenance!$B63</f>
        <v>17</v>
      </c>
      <c r="DI32" s="277">
        <f>Maintenance!$B63</f>
        <v>17</v>
      </c>
      <c r="DJ32" s="50"/>
      <c r="DK32" s="51">
        <f t="shared" si="5"/>
        <v>0</v>
      </c>
    </row>
    <row r="33" spans="1:115">
      <c r="A33" s="198">
        <f>Maintenance!$A64</f>
        <v>2040</v>
      </c>
      <c r="B33" s="198">
        <f>Maintenance!$B64</f>
        <v>18</v>
      </c>
      <c r="C33" s="50">
        <f t="shared" si="13"/>
        <v>3262338.2449999996</v>
      </c>
      <c r="D33" s="51">
        <f t="shared" si="14"/>
        <v>3262338.2449999996</v>
      </c>
      <c r="F33" s="198">
        <f>Maintenance!$A64</f>
        <v>2040</v>
      </c>
      <c r="G33" s="194">
        <f>Maintenance!$B64</f>
        <v>18</v>
      </c>
      <c r="H33" s="50"/>
      <c r="I33" s="51">
        <f>C33-D33</f>
        <v>0</v>
      </c>
      <c r="K33" s="198">
        <f>Maintenance!$A64</f>
        <v>2040</v>
      </c>
      <c r="L33" s="196">
        <f>Maintenance!$B64</f>
        <v>18</v>
      </c>
      <c r="M33" s="196">
        <f>Maintenance!$B64</f>
        <v>18</v>
      </c>
      <c r="N33" s="50"/>
      <c r="O33" s="51">
        <f t="shared" si="7"/>
        <v>0</v>
      </c>
      <c r="Q33" s="63"/>
      <c r="S33" s="198">
        <f>Maintenance!$A64</f>
        <v>2040</v>
      </c>
      <c r="T33" s="74">
        <f>Maintenance!$B64</f>
        <v>18</v>
      </c>
      <c r="U33" s="50">
        <f t="shared" si="15"/>
        <v>7003259.824841544</v>
      </c>
      <c r="V33" s="51">
        <f t="shared" si="16"/>
        <v>7468470.5884873066</v>
      </c>
      <c r="X33" s="198">
        <f>Maintenance!$A64</f>
        <v>2040</v>
      </c>
      <c r="Y33" s="196">
        <f>Maintenance!$B64</f>
        <v>18</v>
      </c>
      <c r="Z33" s="50"/>
      <c r="AA33" s="51">
        <f t="shared" si="17"/>
        <v>-465210.76364576258</v>
      </c>
      <c r="AC33" s="198">
        <f>Maintenance!$A64</f>
        <v>2040</v>
      </c>
      <c r="AD33" s="74">
        <f>Maintenance!$B64</f>
        <v>18</v>
      </c>
      <c r="AE33" s="74">
        <f>Maintenance!$B64</f>
        <v>18</v>
      </c>
      <c r="AF33" s="50"/>
      <c r="AG33" s="51">
        <f t="shared" si="8"/>
        <v>-137639.07844719672</v>
      </c>
      <c r="AI33" s="63"/>
      <c r="AK33" s="198">
        <f>Maintenance!$A64</f>
        <v>2040</v>
      </c>
      <c r="AL33" s="74">
        <f>Maintenance!$B64</f>
        <v>18</v>
      </c>
      <c r="AM33" s="310">
        <f>'Collision Conversion Matrix'!D29</f>
        <v>1686913.4508292838</v>
      </c>
      <c r="AN33" s="311">
        <f>'Collision Conversion Matrix'!D38</f>
        <v>961457.61854543467</v>
      </c>
      <c r="AP33" s="198">
        <f>Maintenance!$A64</f>
        <v>2040</v>
      </c>
      <c r="AQ33" s="18">
        <f>Maintenance!$B64</f>
        <v>18</v>
      </c>
      <c r="AR33" s="50"/>
      <c r="AS33" s="51">
        <f t="shared" si="20"/>
        <v>725455.83228384913</v>
      </c>
      <c r="AU33" s="198">
        <f>Maintenance!$A64</f>
        <v>2040</v>
      </c>
      <c r="AV33" s="201">
        <f>Maintenance!$B64</f>
        <v>18</v>
      </c>
      <c r="AW33" s="74">
        <f>Maintenance!$B64</f>
        <v>18</v>
      </c>
      <c r="AX33" s="50"/>
      <c r="AY33" s="51">
        <f t="shared" si="9"/>
        <v>214636.20365784416</v>
      </c>
      <c r="BA33" s="63"/>
      <c r="BC33" s="198">
        <f>Maintenance!$A64</f>
        <v>2040</v>
      </c>
      <c r="BD33" s="201">
        <f>Maintenance!$B64</f>
        <v>18</v>
      </c>
      <c r="BE33" s="50">
        <f t="shared" si="21"/>
        <v>544910.54399999999</v>
      </c>
      <c r="BF33" s="51">
        <f t="shared" si="22"/>
        <v>544910.54399999999</v>
      </c>
      <c r="BH33" s="198">
        <f>Maintenance!$A64</f>
        <v>2040</v>
      </c>
      <c r="BI33" s="201">
        <f>Maintenance!$B64</f>
        <v>18</v>
      </c>
      <c r="BJ33" s="50"/>
      <c r="BK33" s="51">
        <f t="shared" si="10"/>
        <v>0</v>
      </c>
      <c r="BM33" s="198">
        <f>Maintenance!$A64</f>
        <v>2040</v>
      </c>
      <c r="BN33" s="201">
        <f>Maintenance!$B64</f>
        <v>18</v>
      </c>
      <c r="BO33" s="277">
        <f>Maintenance!$B64</f>
        <v>18</v>
      </c>
      <c r="BP33" s="50"/>
      <c r="BQ33" s="51">
        <f t="shared" si="11"/>
        <v>0</v>
      </c>
      <c r="BS33" s="63"/>
      <c r="BU33" s="198">
        <f>Maintenance!$A64</f>
        <v>2040</v>
      </c>
      <c r="BV33" s="201">
        <f>Maintenance!$B64</f>
        <v>18</v>
      </c>
      <c r="BW33" s="13"/>
      <c r="BX33" s="81">
        <f>Maintenance!F64</f>
        <v>0</v>
      </c>
      <c r="BZ33" s="198">
        <f>Maintenance!$A64</f>
        <v>2040</v>
      </c>
      <c r="CA33" s="201">
        <f>Maintenance!$B64</f>
        <v>18</v>
      </c>
      <c r="CB33" s="50">
        <f t="shared" si="12"/>
        <v>0</v>
      </c>
      <c r="CC33" s="51">
        <v>0</v>
      </c>
      <c r="CE33" s="198">
        <f>Maintenance!$A64</f>
        <v>2040</v>
      </c>
      <c r="CF33" s="201">
        <f>Maintenance!$B64</f>
        <v>18</v>
      </c>
      <c r="CG33" s="153"/>
      <c r="CH33" s="51">
        <f t="shared" si="23"/>
        <v>0</v>
      </c>
      <c r="CJ33" s="198">
        <f>Maintenance!$A64</f>
        <v>2040</v>
      </c>
      <c r="CK33" s="201">
        <f>Maintenance!$B64</f>
        <v>18</v>
      </c>
      <c r="CL33" s="277">
        <f>Maintenance!$B64</f>
        <v>18</v>
      </c>
      <c r="CM33" s="50"/>
      <c r="CN33" s="51">
        <f t="shared" si="4"/>
        <v>0</v>
      </c>
      <c r="CP33" s="63"/>
      <c r="CR33" s="198">
        <f>Maintenance!$A64</f>
        <v>2040</v>
      </c>
      <c r="CS33" s="277">
        <f>Maintenance!$B64</f>
        <v>18</v>
      </c>
      <c r="CT33" s="13"/>
      <c r="CU33" s="81"/>
      <c r="CV33">
        <v>17</v>
      </c>
      <c r="CW33" s="198">
        <f>Maintenance!$A64</f>
        <v>2040</v>
      </c>
      <c r="CX33" s="277">
        <f>Maintenance!$B64</f>
        <v>18</v>
      </c>
      <c r="CY33" s="50">
        <f t="shared" si="2"/>
        <v>0</v>
      </c>
      <c r="CZ33" s="51">
        <v>0</v>
      </c>
      <c r="DB33" s="198">
        <f>Maintenance!$A64</f>
        <v>2040</v>
      </c>
      <c r="DC33" s="277">
        <f>Maintenance!$B64</f>
        <v>18</v>
      </c>
      <c r="DD33" s="153"/>
      <c r="DE33" s="51">
        <f t="shared" si="3"/>
        <v>0</v>
      </c>
      <c r="DG33" s="198">
        <f>Maintenance!$A64</f>
        <v>2040</v>
      </c>
      <c r="DH33" s="277">
        <f>Maintenance!$B64</f>
        <v>18</v>
      </c>
      <c r="DI33" s="277">
        <f>Maintenance!$B64</f>
        <v>18</v>
      </c>
      <c r="DJ33" s="50"/>
      <c r="DK33" s="51">
        <f t="shared" si="5"/>
        <v>0</v>
      </c>
    </row>
    <row r="34" spans="1:115">
      <c r="A34" s="198">
        <f>Maintenance!$A65</f>
        <v>2041</v>
      </c>
      <c r="B34" s="198">
        <f>Maintenance!$B65</f>
        <v>19</v>
      </c>
      <c r="C34" s="50">
        <f t="shared" si="13"/>
        <v>3286788.3174999999</v>
      </c>
      <c r="D34" s="51">
        <f t="shared" si="14"/>
        <v>3286788.3174999999</v>
      </c>
      <c r="F34" s="198">
        <f>Maintenance!$A65</f>
        <v>2041</v>
      </c>
      <c r="G34" s="193">
        <f>Maintenance!$B65</f>
        <v>19</v>
      </c>
      <c r="H34" s="149"/>
      <c r="I34" s="150">
        <f>C34-D34</f>
        <v>0</v>
      </c>
      <c r="K34" s="198">
        <f>Maintenance!$A65</f>
        <v>2041</v>
      </c>
      <c r="L34" s="196">
        <f>Maintenance!$B65</f>
        <v>19</v>
      </c>
      <c r="M34" s="196">
        <f>Maintenance!$B65</f>
        <v>19</v>
      </c>
      <c r="N34" s="149"/>
      <c r="O34" s="51">
        <f t="shared" si="7"/>
        <v>0</v>
      </c>
      <c r="Q34" s="63"/>
      <c r="S34" s="198">
        <f>Maintenance!$A65</f>
        <v>2041</v>
      </c>
      <c r="T34" s="74">
        <f>Maintenance!$B65</f>
        <v>19</v>
      </c>
      <c r="U34" s="50">
        <f t="shared" si="15"/>
        <v>7060965.7124091163</v>
      </c>
      <c r="V34" s="51">
        <f t="shared" si="16"/>
        <v>7534881.9959261222</v>
      </c>
      <c r="X34" s="198">
        <f>Maintenance!$A65</f>
        <v>2041</v>
      </c>
      <c r="Y34" s="196">
        <f>Maintenance!$B65</f>
        <v>19</v>
      </c>
      <c r="Z34" s="149"/>
      <c r="AA34" s="150">
        <f t="shared" si="17"/>
        <v>-473916.28351700585</v>
      </c>
      <c r="AC34" s="198">
        <f>Maintenance!$A65</f>
        <v>2041</v>
      </c>
      <c r="AD34" s="74">
        <f>Maintenance!$B65</f>
        <v>19</v>
      </c>
      <c r="AE34" s="74">
        <f>Maintenance!$B65</f>
        <v>19</v>
      </c>
      <c r="AF34" s="149"/>
      <c r="AG34" s="51">
        <f t="shared" si="8"/>
        <v>-131041.80154197967</v>
      </c>
      <c r="AI34" s="63"/>
      <c r="AK34" s="198">
        <f>Maintenance!$A65</f>
        <v>2041</v>
      </c>
      <c r="AL34" s="74">
        <f>Maintenance!$B65</f>
        <v>19</v>
      </c>
      <c r="AM34" s="50">
        <f t="shared" si="18"/>
        <v>1684426.7782878196</v>
      </c>
      <c r="AN34" s="51">
        <f t="shared" ref="AN34:AN36" si="24">AN$13+(AN$33-AN$13)*(AL34/20)</f>
        <v>960040.33761816297</v>
      </c>
      <c r="AP34" s="198">
        <f>Maintenance!$A65</f>
        <v>2041</v>
      </c>
      <c r="AQ34" s="148">
        <f>Maintenance!$B65</f>
        <v>19</v>
      </c>
      <c r="AR34" s="149"/>
      <c r="AS34" s="150">
        <f t="shared" si="20"/>
        <v>724386.44066965661</v>
      </c>
      <c r="AU34" s="198">
        <f>Maintenance!$A65</f>
        <v>2041</v>
      </c>
      <c r="AV34" s="201">
        <f>Maintenance!$B65</f>
        <v>19</v>
      </c>
      <c r="AW34" s="74">
        <f>Maintenance!$B65</f>
        <v>19</v>
      </c>
      <c r="AX34" s="149"/>
      <c r="AY34" s="150">
        <f t="shared" si="9"/>
        <v>200298.88716522214</v>
      </c>
      <c r="BA34" s="63"/>
      <c r="BC34" s="198">
        <f>Maintenance!$A65</f>
        <v>2041</v>
      </c>
      <c r="BD34" s="154">
        <f>Maintenance!$B65</f>
        <v>19</v>
      </c>
      <c r="BE34" s="50">
        <f t="shared" si="21"/>
        <v>548994.45600000001</v>
      </c>
      <c r="BF34" s="51">
        <f t="shared" si="22"/>
        <v>548994.45600000001</v>
      </c>
      <c r="BH34" s="198">
        <f>Maintenance!$A65</f>
        <v>2041</v>
      </c>
      <c r="BI34" s="154">
        <f>Maintenance!$B65</f>
        <v>19</v>
      </c>
      <c r="BJ34" s="50"/>
      <c r="BK34" s="51">
        <f t="shared" si="10"/>
        <v>0</v>
      </c>
      <c r="BM34" s="198">
        <f>Maintenance!$A65</f>
        <v>2041</v>
      </c>
      <c r="BN34" s="154">
        <f>Maintenance!$B65</f>
        <v>19</v>
      </c>
      <c r="BO34" s="154">
        <f>Maintenance!$B65</f>
        <v>19</v>
      </c>
      <c r="BP34" s="50"/>
      <c r="BQ34" s="51">
        <f t="shared" si="11"/>
        <v>0</v>
      </c>
      <c r="BS34" s="63"/>
      <c r="BU34" s="198">
        <f>Maintenance!$A65</f>
        <v>2041</v>
      </c>
      <c r="BV34" s="154">
        <f>Maintenance!$B65</f>
        <v>19</v>
      </c>
      <c r="BW34" s="13"/>
      <c r="BX34" s="81">
        <f>Maintenance!F65</f>
        <v>0</v>
      </c>
      <c r="BZ34" s="198">
        <f>Maintenance!$A65</f>
        <v>2041</v>
      </c>
      <c r="CA34" s="154">
        <f>Maintenance!$B65</f>
        <v>19</v>
      </c>
      <c r="CB34" s="50">
        <f t="shared" si="12"/>
        <v>0</v>
      </c>
      <c r="CC34" s="51">
        <v>0</v>
      </c>
      <c r="CE34" s="198">
        <f>Maintenance!$A65</f>
        <v>2041</v>
      </c>
      <c r="CF34" s="154">
        <f>Maintenance!$B65</f>
        <v>19</v>
      </c>
      <c r="CG34" s="153"/>
      <c r="CH34" s="51">
        <f t="shared" si="23"/>
        <v>0</v>
      </c>
      <c r="CJ34" s="198">
        <f>Maintenance!$A65</f>
        <v>2041</v>
      </c>
      <c r="CK34" s="154">
        <f>Maintenance!$B65</f>
        <v>19</v>
      </c>
      <c r="CL34" s="154">
        <f>Maintenance!$B65</f>
        <v>19</v>
      </c>
      <c r="CM34" s="50"/>
      <c r="CN34" s="51">
        <f t="shared" si="4"/>
        <v>0</v>
      </c>
      <c r="CP34" s="63"/>
      <c r="CR34" s="198">
        <f>Maintenance!$A65</f>
        <v>2041</v>
      </c>
      <c r="CS34" s="154">
        <f>Maintenance!$B65</f>
        <v>19</v>
      </c>
      <c r="CT34" s="13"/>
      <c r="CU34" s="81"/>
      <c r="CV34">
        <v>18</v>
      </c>
      <c r="CW34" s="198">
        <f>Maintenance!$A65</f>
        <v>2041</v>
      </c>
      <c r="CX34" s="154">
        <f>Maintenance!$B65</f>
        <v>19</v>
      </c>
      <c r="CY34" s="50">
        <f t="shared" si="2"/>
        <v>0</v>
      </c>
      <c r="CZ34" s="51">
        <v>0</v>
      </c>
      <c r="DB34" s="198">
        <f>Maintenance!$A65</f>
        <v>2041</v>
      </c>
      <c r="DC34" s="154">
        <f>Maintenance!$B65</f>
        <v>19</v>
      </c>
      <c r="DD34" s="153"/>
      <c r="DE34" s="51">
        <f t="shared" si="3"/>
        <v>0</v>
      </c>
      <c r="DG34" s="198">
        <f>Maintenance!$A65</f>
        <v>2041</v>
      </c>
      <c r="DH34" s="154">
        <f>Maintenance!$B65</f>
        <v>19</v>
      </c>
      <c r="DI34" s="154">
        <f>Maintenance!$B65</f>
        <v>19</v>
      </c>
      <c r="DJ34" s="50"/>
      <c r="DK34" s="51">
        <f t="shared" si="5"/>
        <v>0</v>
      </c>
    </row>
    <row r="35" spans="1:115">
      <c r="A35" s="198">
        <f>Maintenance!$A66</f>
        <v>2042</v>
      </c>
      <c r="B35" s="198">
        <f>Maintenance!$B66</f>
        <v>20</v>
      </c>
      <c r="C35" s="50">
        <f>'Vehicle Operating Analysis'!J10</f>
        <v>3311238.3899999997</v>
      </c>
      <c r="D35" s="51">
        <f>'Vehicle Operating Analysis'!J11</f>
        <v>3311238.3899999997</v>
      </c>
      <c r="F35" s="198">
        <f>Maintenance!$A66</f>
        <v>2042</v>
      </c>
      <c r="G35" s="194">
        <f>Maintenance!$B66</f>
        <v>20</v>
      </c>
      <c r="H35" s="50"/>
      <c r="I35" s="51">
        <f>C35-D35</f>
        <v>0</v>
      </c>
      <c r="K35" s="198">
        <f>Maintenance!$A66</f>
        <v>2042</v>
      </c>
      <c r="L35" s="196">
        <f>Maintenance!$B66</f>
        <v>20</v>
      </c>
      <c r="M35" s="196">
        <f>Maintenance!$B66</f>
        <v>20</v>
      </c>
      <c r="N35" s="50"/>
      <c r="O35" s="51">
        <f t="shared" si="7"/>
        <v>0</v>
      </c>
      <c r="Q35" s="63"/>
      <c r="S35" s="198">
        <f>Maintenance!$A66</f>
        <v>2042</v>
      </c>
      <c r="T35" s="74">
        <f>Maintenance!$B66</f>
        <v>20</v>
      </c>
      <c r="U35" s="50">
        <f>'Travel Time Analysis'!J10</f>
        <v>7118671.5999766877</v>
      </c>
      <c r="V35" s="51">
        <f>'Travel Time Analysis'!J11</f>
        <v>7601293.4033649378</v>
      </c>
      <c r="X35" s="198">
        <f>Maintenance!$A66</f>
        <v>2042</v>
      </c>
      <c r="Y35" s="196">
        <f>Maintenance!$B66</f>
        <v>20</v>
      </c>
      <c r="Z35" s="50"/>
      <c r="AA35" s="51">
        <f>U35-V35</f>
        <v>-482621.80338825006</v>
      </c>
      <c r="AC35" s="198">
        <f>Maintenance!$A66</f>
        <v>2042</v>
      </c>
      <c r="AD35" s="74">
        <f>Maintenance!$B66</f>
        <v>20</v>
      </c>
      <c r="AE35" s="74">
        <f>Maintenance!$B66</f>
        <v>20</v>
      </c>
      <c r="AF35" s="50"/>
      <c r="AG35" s="51">
        <f t="shared" si="8"/>
        <v>-124718.64516782259</v>
      </c>
      <c r="AI35" s="63"/>
      <c r="AK35" s="198">
        <f>Maintenance!$A66</f>
        <v>2042</v>
      </c>
      <c r="AL35" s="74">
        <f>Maintenance!$B66</f>
        <v>20</v>
      </c>
      <c r="AM35" s="50">
        <f t="shared" si="18"/>
        <v>1686913.4508292838</v>
      </c>
      <c r="AN35" s="51">
        <f t="shared" si="24"/>
        <v>961457.61854543467</v>
      </c>
      <c r="AP35" s="198">
        <f>Maintenance!$A66</f>
        <v>2042</v>
      </c>
      <c r="AQ35" s="156">
        <f>Maintenance!$B66</f>
        <v>20</v>
      </c>
      <c r="AR35" s="50"/>
      <c r="AS35" s="51">
        <f t="shared" ref="AS35" si="25">AM35-AN35</f>
        <v>725455.83228384913</v>
      </c>
      <c r="AU35" s="198">
        <f>Maintenance!$A66</f>
        <v>2042</v>
      </c>
      <c r="AV35" s="201">
        <f>Maintenance!$B66</f>
        <v>20</v>
      </c>
      <c r="AW35" s="74">
        <f>Maintenance!$B66</f>
        <v>20</v>
      </c>
      <c r="AX35" s="50"/>
      <c r="AY35" s="51">
        <f t="shared" si="9"/>
        <v>187471.57276429748</v>
      </c>
      <c r="BA35" s="63"/>
      <c r="BC35" s="198">
        <f>Maintenance!$A66</f>
        <v>2042</v>
      </c>
      <c r="BD35" s="201">
        <f>Maintenance!$B66</f>
        <v>20</v>
      </c>
      <c r="BE35" s="50">
        <f>'Environmental Analysis'!J10</f>
        <v>553078.36800000002</v>
      </c>
      <c r="BF35" s="51">
        <f>'Environmental Analysis'!J11</f>
        <v>553078.36800000002</v>
      </c>
      <c r="BH35" s="198">
        <f>Maintenance!$A66</f>
        <v>2042</v>
      </c>
      <c r="BI35" s="201">
        <f>Maintenance!$B66</f>
        <v>20</v>
      </c>
      <c r="BJ35" s="50"/>
      <c r="BK35" s="51">
        <f t="shared" ref="BK35:BK36" si="26">BE35-BF35</f>
        <v>0</v>
      </c>
      <c r="BM35" s="198">
        <f>Maintenance!$A66</f>
        <v>2042</v>
      </c>
      <c r="BN35" s="201">
        <f>Maintenance!$B66</f>
        <v>20</v>
      </c>
      <c r="BO35" s="277">
        <f>Maintenance!$B66</f>
        <v>20</v>
      </c>
      <c r="BP35" s="50"/>
      <c r="BQ35" s="51">
        <f t="shared" si="11"/>
        <v>0</v>
      </c>
      <c r="BS35" s="63"/>
      <c r="BU35" s="198">
        <f>Maintenance!$A66</f>
        <v>2042</v>
      </c>
      <c r="BV35" s="201">
        <f>Maintenance!$B66</f>
        <v>20</v>
      </c>
      <c r="BW35" s="13"/>
      <c r="BX35" s="81">
        <f>Maintenance!F66</f>
        <v>0</v>
      </c>
      <c r="BZ35" s="198">
        <f>Maintenance!$A66</f>
        <v>2042</v>
      </c>
      <c r="CA35" s="201">
        <f>Maintenance!$B66</f>
        <v>20</v>
      </c>
      <c r="CB35" s="50">
        <f t="shared" ref="CB35:CB36" si="27">BX35</f>
        <v>0</v>
      </c>
      <c r="CC35" s="51">
        <v>0</v>
      </c>
      <c r="CE35" s="198">
        <f>Maintenance!$A66</f>
        <v>2042</v>
      </c>
      <c r="CF35" s="201">
        <f>Maintenance!$B66</f>
        <v>20</v>
      </c>
      <c r="CG35" s="153"/>
      <c r="CH35" s="51">
        <f t="shared" ref="CH35:CH36" si="28">CB35-CC35</f>
        <v>0</v>
      </c>
      <c r="CJ35" s="198">
        <f>Maintenance!$A66</f>
        <v>2042</v>
      </c>
      <c r="CK35" s="201">
        <f>Maintenance!$B66</f>
        <v>20</v>
      </c>
      <c r="CL35" s="277">
        <f>Maintenance!$B66</f>
        <v>20</v>
      </c>
      <c r="CM35" s="50"/>
      <c r="CN35" s="51">
        <f t="shared" si="4"/>
        <v>0</v>
      </c>
      <c r="CP35" s="63"/>
      <c r="CR35" s="198">
        <f>Maintenance!$A66</f>
        <v>2042</v>
      </c>
      <c r="CS35" s="277">
        <f>Maintenance!$B66</f>
        <v>20</v>
      </c>
      <c r="CT35" s="13"/>
      <c r="CU35" s="81"/>
      <c r="CV35">
        <v>19</v>
      </c>
      <c r="CW35" s="198">
        <f>Maintenance!$A66</f>
        <v>2042</v>
      </c>
      <c r="CX35" s="277">
        <f>Maintenance!$B66</f>
        <v>20</v>
      </c>
      <c r="CY35" s="50">
        <f t="shared" si="2"/>
        <v>0</v>
      </c>
      <c r="CZ35" s="51">
        <v>0</v>
      </c>
      <c r="DB35" s="198">
        <f>Maintenance!$A66</f>
        <v>2042</v>
      </c>
      <c r="DC35" s="277">
        <f>Maintenance!$B66</f>
        <v>20</v>
      </c>
      <c r="DD35" s="153"/>
      <c r="DE35" s="51">
        <f t="shared" si="3"/>
        <v>0</v>
      </c>
      <c r="DG35" s="198">
        <f>Maintenance!$A66</f>
        <v>2042</v>
      </c>
      <c r="DH35" s="277">
        <f>Maintenance!$B66</f>
        <v>20</v>
      </c>
      <c r="DI35" s="277">
        <f>Maintenance!$B66</f>
        <v>20</v>
      </c>
      <c r="DJ35" s="50"/>
      <c r="DK35" s="51">
        <f t="shared" si="5"/>
        <v>0</v>
      </c>
    </row>
    <row r="36" spans="1:115" ht="15.75" thickBot="1">
      <c r="A36" s="199">
        <f>Maintenance!$A67</f>
        <v>2043</v>
      </c>
      <c r="B36" s="199">
        <f>Maintenance!$B67</f>
        <v>21</v>
      </c>
      <c r="C36" s="52">
        <f>C$15+(C$35-C$15)*(B36/20)</f>
        <v>3335688.4624999994</v>
      </c>
      <c r="D36" s="53">
        <f>D$15+(D$35-D$15)*(B36/20)</f>
        <v>3335688.4624999994</v>
      </c>
      <c r="F36" s="199">
        <f>Maintenance!$A67</f>
        <v>2043</v>
      </c>
      <c r="G36" s="193">
        <f>Maintenance!$B67</f>
        <v>21</v>
      </c>
      <c r="H36" s="149"/>
      <c r="I36" s="150">
        <f>C36-D36</f>
        <v>0</v>
      </c>
      <c r="K36" s="199">
        <f>Maintenance!$A67</f>
        <v>2043</v>
      </c>
      <c r="L36" s="196">
        <f>Maintenance!$B67</f>
        <v>21</v>
      </c>
      <c r="M36" s="196">
        <f>Maintenance!$B67</f>
        <v>21</v>
      </c>
      <c r="N36" s="149"/>
      <c r="O36" s="51">
        <f t="shared" si="7"/>
        <v>0</v>
      </c>
      <c r="Q36" s="63"/>
      <c r="S36" s="199">
        <f>Maintenance!$A67</f>
        <v>2043</v>
      </c>
      <c r="T36" s="73">
        <f>Maintenance!$B67</f>
        <v>21</v>
      </c>
      <c r="U36" s="52">
        <f>U$15+(U$35-U$15)*(T36/20)</f>
        <v>7176377.4875442591</v>
      </c>
      <c r="V36" s="53">
        <f>V$15+(V$35-V$15)*(T36/20)</f>
        <v>7667704.8108037533</v>
      </c>
      <c r="X36" s="199">
        <f>Maintenance!$A67</f>
        <v>2043</v>
      </c>
      <c r="Y36" s="196">
        <f>Maintenance!$B67</f>
        <v>21</v>
      </c>
      <c r="Z36" s="149"/>
      <c r="AA36" s="150">
        <f>U36-V36</f>
        <v>-491327.32325949427</v>
      </c>
      <c r="AC36" s="199">
        <f>Maintenance!$A67</f>
        <v>2043</v>
      </c>
      <c r="AD36" s="74">
        <f>Maintenance!$B67</f>
        <v>21</v>
      </c>
      <c r="AE36" s="74">
        <f>Maintenance!$B67</f>
        <v>21</v>
      </c>
      <c r="AF36" s="149"/>
      <c r="AG36" s="51">
        <f t="shared" si="8"/>
        <v>-118661.97844105217</v>
      </c>
      <c r="AI36" s="63"/>
      <c r="AK36" s="199">
        <f>Maintenance!$A67</f>
        <v>2043</v>
      </c>
      <c r="AL36" s="73">
        <f>Maintenance!$B67</f>
        <v>21</v>
      </c>
      <c r="AM36" s="52">
        <v>1780660.5080247973</v>
      </c>
      <c r="AN36" s="51">
        <f t="shared" si="24"/>
        <v>962874.89947270637</v>
      </c>
      <c r="AP36" s="199">
        <f>Maintenance!$A67</f>
        <v>2043</v>
      </c>
      <c r="AQ36" s="148">
        <f>Maintenance!$B67</f>
        <v>21</v>
      </c>
      <c r="AR36" s="149"/>
      <c r="AS36" s="150">
        <f>AM36-AN36</f>
        <v>817785.60855209094</v>
      </c>
      <c r="AU36" s="199">
        <f>Maintenance!$A67</f>
        <v>2043</v>
      </c>
      <c r="AV36" s="201">
        <f>Maintenance!$B67</f>
        <v>21</v>
      </c>
      <c r="AW36" s="74">
        <f>Maintenance!$B67</f>
        <v>21</v>
      </c>
      <c r="AX36" s="149"/>
      <c r="AY36" s="150">
        <f t="shared" si="9"/>
        <v>197505.9266145459</v>
      </c>
      <c r="BA36" s="63"/>
      <c r="BC36" s="199">
        <f>Maintenance!$A67</f>
        <v>2043</v>
      </c>
      <c r="BD36" s="80">
        <f>Maintenance!$B67</f>
        <v>21</v>
      </c>
      <c r="BE36" s="52">
        <f>BE$15+(BE$35-BE$15)*(BD36/20)</f>
        <v>557162.28</v>
      </c>
      <c r="BF36" s="53">
        <f>BF$15+(BF$35-BF$15)*(BD36/20)</f>
        <v>557162.28</v>
      </c>
      <c r="BH36" s="199">
        <f>Maintenance!$A67</f>
        <v>2043</v>
      </c>
      <c r="BI36" s="80">
        <f>Maintenance!$B67</f>
        <v>21</v>
      </c>
      <c r="BJ36" s="52"/>
      <c r="BK36" s="53">
        <f t="shared" si="26"/>
        <v>0</v>
      </c>
      <c r="BM36" s="199">
        <f>Maintenance!$A67</f>
        <v>2043</v>
      </c>
      <c r="BN36" s="154">
        <f>Maintenance!$B67</f>
        <v>21</v>
      </c>
      <c r="BO36" s="154">
        <f>Maintenance!$B67</f>
        <v>21</v>
      </c>
      <c r="BP36" s="50"/>
      <c r="BQ36" s="51">
        <f t="shared" si="11"/>
        <v>0</v>
      </c>
      <c r="BS36" s="63"/>
      <c r="BU36" s="199">
        <f>Maintenance!$A67</f>
        <v>2043</v>
      </c>
      <c r="BV36" s="80">
        <f>Maintenance!$B67</f>
        <v>21</v>
      </c>
      <c r="BW36" s="14"/>
      <c r="BX36" s="81">
        <f>Maintenance!F67</f>
        <v>0</v>
      </c>
      <c r="BZ36" s="199">
        <f>Maintenance!$A67</f>
        <v>2043</v>
      </c>
      <c r="CA36" s="80">
        <f>Maintenance!$B67</f>
        <v>21</v>
      </c>
      <c r="CB36" s="52">
        <f t="shared" si="27"/>
        <v>0</v>
      </c>
      <c r="CC36" s="53">
        <v>0</v>
      </c>
      <c r="CE36" s="199">
        <f>Maintenance!$A67</f>
        <v>2043</v>
      </c>
      <c r="CF36" s="80">
        <f>Maintenance!$B67</f>
        <v>21</v>
      </c>
      <c r="CG36" s="153"/>
      <c r="CH36" s="51">
        <f t="shared" si="28"/>
        <v>0</v>
      </c>
      <c r="CJ36" s="199">
        <f>Maintenance!$A67</f>
        <v>2043</v>
      </c>
      <c r="CK36" s="154">
        <f>Maintenance!$B67</f>
        <v>21</v>
      </c>
      <c r="CL36" s="154">
        <f>Maintenance!$B67</f>
        <v>21</v>
      </c>
      <c r="CM36" s="50"/>
      <c r="CN36" s="51">
        <f t="shared" si="4"/>
        <v>0</v>
      </c>
      <c r="CP36" s="63"/>
      <c r="CR36" s="199">
        <f>Maintenance!$A67</f>
        <v>2043</v>
      </c>
      <c r="CS36" s="80">
        <f>Maintenance!$B67</f>
        <v>21</v>
      </c>
      <c r="CT36" s="14" t="s">
        <v>312</v>
      </c>
      <c r="CU36" s="81">
        <v>3612000</v>
      </c>
      <c r="CV36">
        <v>20</v>
      </c>
      <c r="CW36" s="199">
        <f>Maintenance!$A67</f>
        <v>2043</v>
      </c>
      <c r="CX36" s="80">
        <f>Maintenance!$B67</f>
        <v>21</v>
      </c>
      <c r="CY36" s="52">
        <f t="shared" si="2"/>
        <v>3612000</v>
      </c>
      <c r="CZ36" s="53">
        <v>0</v>
      </c>
      <c r="DB36" s="199">
        <f>Maintenance!$A67</f>
        <v>2043</v>
      </c>
      <c r="DC36" s="80">
        <f>Maintenance!$B67</f>
        <v>21</v>
      </c>
      <c r="DD36" s="153"/>
      <c r="DE36" s="51">
        <f t="shared" si="3"/>
        <v>3612000</v>
      </c>
      <c r="DG36" s="199">
        <f>Maintenance!$A67</f>
        <v>2043</v>
      </c>
      <c r="DH36" s="154">
        <f>Maintenance!$B67</f>
        <v>21</v>
      </c>
      <c r="DI36" s="154">
        <f>Maintenance!$B67</f>
        <v>21</v>
      </c>
      <c r="DJ36" s="50"/>
      <c r="DK36" s="51">
        <f t="shared" si="5"/>
        <v>872345.26931186335</v>
      </c>
    </row>
    <row r="37" spans="1:115" ht="15.75" thickBot="1">
      <c r="F37" s="466" t="s">
        <v>15</v>
      </c>
      <c r="G37" s="467"/>
      <c r="H37" s="467"/>
      <c r="I37" s="151">
        <f>SUM(I7:I36)</f>
        <v>0</v>
      </c>
      <c r="K37" s="466" t="s">
        <v>15</v>
      </c>
      <c r="L37" s="467"/>
      <c r="M37" s="467"/>
      <c r="N37" s="467"/>
      <c r="O37" s="151">
        <f>SUM(O7:O36)</f>
        <v>0</v>
      </c>
      <c r="Q37" s="64"/>
      <c r="S37" s="8"/>
      <c r="T37" s="8"/>
      <c r="U37" s="8"/>
      <c r="V37" s="8"/>
      <c r="X37" s="466" t="s">
        <v>15</v>
      </c>
      <c r="Y37" s="467"/>
      <c r="Z37" s="467"/>
      <c r="AA37" s="151">
        <f>SUM(AA7:AA36)</f>
        <v>-8172497.6896535652</v>
      </c>
      <c r="AC37" s="466" t="s">
        <v>15</v>
      </c>
      <c r="AD37" s="467"/>
      <c r="AE37" s="467"/>
      <c r="AF37" s="467"/>
      <c r="AG37" s="151">
        <f>SUM(AG7:AG36)</f>
        <v>-3857554.8536770898</v>
      </c>
      <c r="AI37" s="64"/>
      <c r="AK37" s="8"/>
      <c r="AL37" s="8"/>
      <c r="AM37" s="8"/>
      <c r="AN37" s="8"/>
      <c r="AP37" s="466" t="s">
        <v>15</v>
      </c>
      <c r="AQ37" s="467"/>
      <c r="AR37" s="467"/>
      <c r="AS37" s="151">
        <f>SUM(AS7:AS36)</f>
        <v>14420719.239146698</v>
      </c>
      <c r="AU37" s="466" t="s">
        <v>15</v>
      </c>
      <c r="AV37" s="467"/>
      <c r="AW37" s="467"/>
      <c r="AX37" s="467"/>
      <c r="AY37" s="151">
        <f>SUM(AY7:AY36)</f>
        <v>7092254.9177764142</v>
      </c>
      <c r="BA37" s="64"/>
      <c r="BC37" s="87"/>
      <c r="BD37" s="87"/>
      <c r="BE37" s="87"/>
      <c r="BF37" s="87"/>
      <c r="BH37" s="466" t="s">
        <v>15</v>
      </c>
      <c r="BI37" s="467"/>
      <c r="BJ37" s="468"/>
      <c r="BK37" s="219">
        <f>SUM(BK7:BK36)</f>
        <v>0</v>
      </c>
      <c r="BM37" s="466" t="s">
        <v>15</v>
      </c>
      <c r="BN37" s="467"/>
      <c r="BO37" s="467"/>
      <c r="BP37" s="467"/>
      <c r="BQ37" s="151">
        <f>SUM(BQ9:BQ36)</f>
        <v>0</v>
      </c>
      <c r="BS37" s="64"/>
      <c r="BZ37" s="92"/>
      <c r="CA37" s="92"/>
      <c r="CB37" s="92"/>
      <c r="CC37" s="92"/>
      <c r="CE37" s="466" t="s">
        <v>15</v>
      </c>
      <c r="CF37" s="467"/>
      <c r="CG37" s="467"/>
      <c r="CH37" s="151">
        <f>SUM(CH7:CH36)</f>
        <v>2816423</v>
      </c>
      <c r="CJ37" s="466" t="s">
        <v>15</v>
      </c>
      <c r="CK37" s="467"/>
      <c r="CL37" s="467"/>
      <c r="CM37" s="467"/>
      <c r="CN37" s="151">
        <f>SUM(CN7:CN36)</f>
        <v>2632171.0280373832</v>
      </c>
      <c r="CP37" s="64"/>
      <c r="CW37" s="276"/>
      <c r="CX37" s="276"/>
      <c r="CY37" s="276"/>
      <c r="CZ37" s="276"/>
      <c r="DB37" s="466" t="s">
        <v>15</v>
      </c>
      <c r="DC37" s="467"/>
      <c r="DD37" s="467"/>
      <c r="DE37" s="151">
        <f>SUM(DE7:DE36)</f>
        <v>25164000</v>
      </c>
      <c r="DG37" s="466" t="s">
        <v>15</v>
      </c>
      <c r="DH37" s="467"/>
      <c r="DI37" s="467"/>
      <c r="DJ37" s="467"/>
      <c r="DK37" s="151">
        <f>SUM(DK7:DK36)</f>
        <v>11545615.984346429</v>
      </c>
    </row>
    <row r="38" spans="1:115" ht="15.75" thickBot="1"/>
    <row r="39" spans="1:115" ht="15.75" thickBot="1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5"/>
      <c r="AY39" s="49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</row>
    <row r="40" spans="1:115">
      <c r="F40" s="276"/>
      <c r="G40" s="276"/>
      <c r="H40" s="276"/>
      <c r="I40" s="276"/>
      <c r="Q40" s="62"/>
    </row>
    <row r="41" spans="1:115" ht="21">
      <c r="F41" s="355" t="s">
        <v>72</v>
      </c>
      <c r="G41" s="355"/>
      <c r="H41" s="355"/>
      <c r="I41" s="355"/>
      <c r="J41" s="355"/>
      <c r="K41" s="355"/>
      <c r="L41" s="355"/>
      <c r="M41" s="355"/>
      <c r="N41" s="355"/>
      <c r="O41" s="355"/>
      <c r="Q41" s="63"/>
    </row>
    <row r="42" spans="1:115">
      <c r="F42" s="356" t="s">
        <v>164</v>
      </c>
      <c r="G42" s="356"/>
      <c r="H42" s="356"/>
      <c r="I42" s="356"/>
      <c r="J42" s="356"/>
      <c r="K42" s="356"/>
      <c r="L42" s="356"/>
      <c r="M42" s="356"/>
      <c r="N42" s="356"/>
      <c r="O42" s="356"/>
      <c r="Q42" s="63"/>
    </row>
    <row r="43" spans="1:115">
      <c r="F43" s="357" t="s">
        <v>137</v>
      </c>
      <c r="G43" s="357"/>
      <c r="H43" s="357"/>
      <c r="I43" s="357"/>
      <c r="J43" s="357"/>
      <c r="K43" s="357"/>
      <c r="L43" s="357"/>
      <c r="M43" s="357"/>
      <c r="N43" s="357"/>
      <c r="O43" s="357"/>
      <c r="Q43" s="63"/>
    </row>
    <row r="44" spans="1:115" ht="15.75" thickBot="1"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Q44" s="63"/>
    </row>
    <row r="45" spans="1:115" ht="34.5" customHeight="1" thickBot="1">
      <c r="F45" s="276"/>
      <c r="G45" s="276"/>
      <c r="H45" s="463" t="s">
        <v>128</v>
      </c>
      <c r="I45" s="397"/>
      <c r="K45" s="158">
        <f>$K$5</f>
        <v>7.0000000000000007E-2</v>
      </c>
      <c r="L45" s="159"/>
      <c r="M45" s="159"/>
      <c r="N45" s="464" t="s">
        <v>160</v>
      </c>
      <c r="O45" s="465"/>
      <c r="Q45" s="63"/>
      <c r="AC45" s="36"/>
      <c r="CH45" s="20"/>
      <c r="DE45" s="20"/>
    </row>
    <row r="46" spans="1:115" ht="30">
      <c r="F46" s="197" t="s">
        <v>53</v>
      </c>
      <c r="G46" s="282" t="s">
        <v>27</v>
      </c>
      <c r="H46" s="279" t="s">
        <v>35</v>
      </c>
      <c r="I46" s="281" t="s">
        <v>36</v>
      </c>
      <c r="K46" s="197" t="s">
        <v>53</v>
      </c>
      <c r="L46" s="282" t="s">
        <v>27</v>
      </c>
      <c r="M46" s="284" t="s">
        <v>97</v>
      </c>
      <c r="N46" s="279" t="s">
        <v>35</v>
      </c>
      <c r="O46" s="281" t="s">
        <v>36</v>
      </c>
      <c r="Q46" s="63"/>
    </row>
    <row r="47" spans="1:115" hidden="1">
      <c r="F47" s="198">
        <v>2014</v>
      </c>
      <c r="G47" s="193">
        <v>-6</v>
      </c>
      <c r="H47" s="50"/>
      <c r="I47" s="51"/>
      <c r="K47" s="198">
        <v>2014</v>
      </c>
      <c r="L47" s="193">
        <v>-6</v>
      </c>
      <c r="M47" s="156">
        <v>-6</v>
      </c>
      <c r="N47" s="50"/>
      <c r="O47" s="51"/>
      <c r="Q47" s="63"/>
    </row>
    <row r="48" spans="1:115">
      <c r="F48" s="198">
        <f>Maintenance!$A41</f>
        <v>2017</v>
      </c>
      <c r="G48" s="198">
        <f>Maintenance!$B41</f>
        <v>-5</v>
      </c>
      <c r="H48" s="50"/>
      <c r="I48" s="51"/>
      <c r="K48" s="198">
        <f>Maintenance!$A41</f>
        <v>2017</v>
      </c>
      <c r="L48" s="193">
        <f>Maintenance!$B41</f>
        <v>-5</v>
      </c>
      <c r="M48" s="156">
        <f>Maintenance!$B41</f>
        <v>-5</v>
      </c>
      <c r="N48" s="50"/>
      <c r="O48" s="51"/>
      <c r="Q48" s="63"/>
    </row>
    <row r="49" spans="6:17">
      <c r="F49" s="198">
        <f>Maintenance!$A42</f>
        <v>2018</v>
      </c>
      <c r="G49" s="198">
        <f>Maintenance!$B42</f>
        <v>-4</v>
      </c>
      <c r="H49" s="50"/>
      <c r="I49" s="51"/>
      <c r="K49" s="198">
        <f>Maintenance!$A42</f>
        <v>2018</v>
      </c>
      <c r="L49" s="193">
        <f>Maintenance!$B42</f>
        <v>-4</v>
      </c>
      <c r="M49" s="156">
        <f>Maintenance!$B42</f>
        <v>-4</v>
      </c>
      <c r="N49" s="50"/>
      <c r="O49" s="51"/>
      <c r="Q49" s="63"/>
    </row>
    <row r="50" spans="6:17">
      <c r="F50" s="198">
        <f>Maintenance!$A43</f>
        <v>2019</v>
      </c>
      <c r="G50" s="198">
        <f>Maintenance!$B43</f>
        <v>-3</v>
      </c>
      <c r="H50" s="50"/>
      <c r="I50" s="51">
        <f>'Design.Construction.Salvage'!V5</f>
        <v>48500</v>
      </c>
      <c r="K50" s="198">
        <f>Maintenance!$A43</f>
        <v>2019</v>
      </c>
      <c r="L50" s="193">
        <f>Maintenance!$B43</f>
        <v>-3</v>
      </c>
      <c r="M50" s="156">
        <f>Maintenance!$B43</f>
        <v>-3</v>
      </c>
      <c r="N50" s="50"/>
      <c r="O50" s="51">
        <f>'Design.Construction.Salvage'!AI5</f>
        <v>59414.585500000008</v>
      </c>
      <c r="Q50" s="63"/>
    </row>
    <row r="51" spans="6:17">
      <c r="F51" s="198">
        <f>Maintenance!$A44</f>
        <v>2020</v>
      </c>
      <c r="G51" s="198">
        <f>Maintenance!$B44</f>
        <v>-2</v>
      </c>
      <c r="H51" s="50"/>
      <c r="I51" s="51">
        <f>'Design.Construction.Salvage'!V6</f>
        <v>136000</v>
      </c>
      <c r="K51" s="198">
        <f>Maintenance!$A44</f>
        <v>2020</v>
      </c>
      <c r="L51" s="193">
        <f>Maintenance!$B44</f>
        <v>-2</v>
      </c>
      <c r="M51" s="156">
        <f>Maintenance!$B44</f>
        <v>-2</v>
      </c>
      <c r="N51" s="50"/>
      <c r="O51" s="51">
        <f>'Design.Construction.Salvage'!AI6</f>
        <v>155706.4</v>
      </c>
      <c r="Q51" s="63"/>
    </row>
    <row r="52" spans="6:17">
      <c r="F52" s="198">
        <f>Maintenance!$A45</f>
        <v>2021</v>
      </c>
      <c r="G52" s="198">
        <f>Maintenance!$B45</f>
        <v>-1</v>
      </c>
      <c r="H52" s="50"/>
      <c r="I52" s="51">
        <f>'Design.Construction.Salvage'!V7</f>
        <v>591000</v>
      </c>
      <c r="K52" s="198">
        <f>Maintenance!$A45</f>
        <v>2021</v>
      </c>
      <c r="L52" s="193">
        <f>Maintenance!$B45</f>
        <v>-1</v>
      </c>
      <c r="M52" s="156">
        <f>Maintenance!$B45</f>
        <v>-1</v>
      </c>
      <c r="N52" s="50"/>
      <c r="O52" s="51">
        <f>'Design.Construction.Salvage'!AI7</f>
        <v>632370</v>
      </c>
      <c r="Q52" s="63"/>
    </row>
    <row r="53" spans="6:17">
      <c r="F53" s="198">
        <f>Maintenance!$A46</f>
        <v>2022</v>
      </c>
      <c r="G53" s="198">
        <f>Maintenance!$B46</f>
        <v>0</v>
      </c>
      <c r="H53" s="50"/>
      <c r="I53" s="51">
        <f>'Design.Construction.Salvage'!V8</f>
        <v>4858400</v>
      </c>
      <c r="K53" s="198">
        <f>Maintenance!$A46</f>
        <v>2022</v>
      </c>
      <c r="L53" s="193">
        <f>Maintenance!$B46</f>
        <v>0</v>
      </c>
      <c r="M53" s="156">
        <f>Maintenance!$B46</f>
        <v>0</v>
      </c>
      <c r="N53" s="50"/>
      <c r="O53" s="51">
        <f>'Design.Construction.Salvage'!AI8</f>
        <v>4858400</v>
      </c>
      <c r="Q53" s="63"/>
    </row>
    <row r="54" spans="6:17">
      <c r="F54" s="198">
        <f>Maintenance!$A47</f>
        <v>2023</v>
      </c>
      <c r="G54" s="198">
        <f>Maintenance!$B47</f>
        <v>1</v>
      </c>
      <c r="H54" s="50"/>
      <c r="I54" s="51">
        <f>'Design.Construction.Salvage'!V9</f>
        <v>3028609</v>
      </c>
      <c r="K54" s="198">
        <f>Maintenance!$A47</f>
        <v>2023</v>
      </c>
      <c r="L54" s="193">
        <f>Maintenance!$B47</f>
        <v>1</v>
      </c>
      <c r="M54" s="156">
        <f>Maintenance!$B47</f>
        <v>1</v>
      </c>
      <c r="N54" s="50"/>
      <c r="O54" s="51">
        <f>'Design.Construction.Salvage'!AI9</f>
        <v>2830475.7009345796</v>
      </c>
      <c r="Q54" s="63"/>
    </row>
    <row r="55" spans="6:17">
      <c r="F55" s="198">
        <f>Maintenance!$A48</f>
        <v>2024</v>
      </c>
      <c r="G55" s="198">
        <f>Maintenance!$B48</f>
        <v>2</v>
      </c>
      <c r="H55" s="50"/>
      <c r="I55" s="51"/>
      <c r="K55" s="198">
        <f>Maintenance!$A48</f>
        <v>2024</v>
      </c>
      <c r="L55" s="193">
        <f>Maintenance!$B48</f>
        <v>2</v>
      </c>
      <c r="M55" s="156">
        <f>Maintenance!$B48</f>
        <v>2</v>
      </c>
      <c r="N55" s="50"/>
      <c r="O55" s="51"/>
      <c r="Q55" s="63"/>
    </row>
    <row r="56" spans="6:17">
      <c r="F56" s="198">
        <f>Maintenance!$A49</f>
        <v>2025</v>
      </c>
      <c r="G56" s="198">
        <f>Maintenance!$B49</f>
        <v>3</v>
      </c>
      <c r="H56" s="50"/>
      <c r="I56" s="51"/>
      <c r="K56" s="198">
        <f>Maintenance!$A49</f>
        <v>2025</v>
      </c>
      <c r="L56" s="193">
        <f>Maintenance!$B49</f>
        <v>3</v>
      </c>
      <c r="M56" s="156">
        <f>Maintenance!$B49</f>
        <v>3</v>
      </c>
      <c r="N56" s="50"/>
      <c r="O56" s="51"/>
      <c r="Q56" s="63"/>
    </row>
    <row r="57" spans="6:17">
      <c r="F57" s="198">
        <f>Maintenance!$A50</f>
        <v>2026</v>
      </c>
      <c r="G57" s="198">
        <f>Maintenance!$B50</f>
        <v>4</v>
      </c>
      <c r="H57" s="50"/>
      <c r="I57" s="51"/>
      <c r="K57" s="198">
        <f>Maintenance!$A50</f>
        <v>2026</v>
      </c>
      <c r="L57" s="193">
        <f>Maintenance!$B50</f>
        <v>4</v>
      </c>
      <c r="M57" s="156">
        <f>Maintenance!$B50</f>
        <v>4</v>
      </c>
      <c r="N57" s="50"/>
      <c r="O57" s="51"/>
      <c r="Q57" s="63"/>
    </row>
    <row r="58" spans="6:17">
      <c r="F58" s="198">
        <f>Maintenance!$A51</f>
        <v>2027</v>
      </c>
      <c r="G58" s="198">
        <f>Maintenance!$B51</f>
        <v>5</v>
      </c>
      <c r="H58" s="50"/>
      <c r="I58" s="51"/>
      <c r="K58" s="198">
        <f>Maintenance!$A51</f>
        <v>2027</v>
      </c>
      <c r="L58" s="193">
        <f>Maintenance!$B51</f>
        <v>5</v>
      </c>
      <c r="M58" s="156">
        <f>Maintenance!$B51</f>
        <v>5</v>
      </c>
      <c r="N58" s="50"/>
      <c r="O58" s="51"/>
      <c r="Q58" s="63"/>
    </row>
    <row r="59" spans="6:17">
      <c r="F59" s="198">
        <f>Maintenance!$A52</f>
        <v>2028</v>
      </c>
      <c r="G59" s="198">
        <f>Maintenance!$B52</f>
        <v>6</v>
      </c>
      <c r="H59" s="50"/>
      <c r="I59" s="51"/>
      <c r="K59" s="198">
        <f>Maintenance!$A52</f>
        <v>2028</v>
      </c>
      <c r="L59" s="193">
        <f>Maintenance!$B52</f>
        <v>6</v>
      </c>
      <c r="M59" s="156">
        <f>Maintenance!$B52</f>
        <v>6</v>
      </c>
      <c r="N59" s="50"/>
      <c r="O59" s="51"/>
      <c r="Q59" s="63"/>
    </row>
    <row r="60" spans="6:17">
      <c r="F60" s="198">
        <f>Maintenance!$A53</f>
        <v>2029</v>
      </c>
      <c r="G60" s="198">
        <f>Maintenance!$B53</f>
        <v>7</v>
      </c>
      <c r="H60" s="50"/>
      <c r="I60" s="51"/>
      <c r="K60" s="198">
        <f>Maintenance!$A53</f>
        <v>2029</v>
      </c>
      <c r="L60" s="193">
        <f>Maintenance!$B53</f>
        <v>7</v>
      </c>
      <c r="M60" s="156">
        <f>Maintenance!$B53</f>
        <v>7</v>
      </c>
      <c r="N60" s="50"/>
      <c r="O60" s="51"/>
      <c r="Q60" s="63"/>
    </row>
    <row r="61" spans="6:17">
      <c r="F61" s="198">
        <f>Maintenance!$A54</f>
        <v>2030</v>
      </c>
      <c r="G61" s="198">
        <f>Maintenance!$B54</f>
        <v>8</v>
      </c>
      <c r="H61" s="50"/>
      <c r="I61" s="51"/>
      <c r="K61" s="198">
        <f>Maintenance!$A54</f>
        <v>2030</v>
      </c>
      <c r="L61" s="193">
        <f>Maintenance!$B54</f>
        <v>8</v>
      </c>
      <c r="M61" s="156">
        <f>Maintenance!$B54</f>
        <v>8</v>
      </c>
      <c r="N61" s="50"/>
      <c r="O61" s="51"/>
      <c r="Q61" s="63"/>
    </row>
    <row r="62" spans="6:17">
      <c r="F62" s="198">
        <f>Maintenance!$A55</f>
        <v>2031</v>
      </c>
      <c r="G62" s="198">
        <f>Maintenance!$B55</f>
        <v>9</v>
      </c>
      <c r="H62" s="50"/>
      <c r="I62" s="51"/>
      <c r="K62" s="198">
        <f>Maintenance!$A55</f>
        <v>2031</v>
      </c>
      <c r="L62" s="193">
        <f>Maintenance!$B55</f>
        <v>9</v>
      </c>
      <c r="M62" s="156">
        <f>Maintenance!$B55</f>
        <v>9</v>
      </c>
      <c r="N62" s="50"/>
      <c r="O62" s="51"/>
      <c r="Q62" s="63"/>
    </row>
    <row r="63" spans="6:17">
      <c r="F63" s="198">
        <f>Maintenance!$A56</f>
        <v>2032</v>
      </c>
      <c r="G63" s="198">
        <f>Maintenance!$B56</f>
        <v>10</v>
      </c>
      <c r="H63" s="50"/>
      <c r="I63" s="51"/>
      <c r="K63" s="198">
        <f>Maintenance!$A56</f>
        <v>2032</v>
      </c>
      <c r="L63" s="193">
        <f>Maintenance!$B56</f>
        <v>10</v>
      </c>
      <c r="M63" s="156">
        <f>Maintenance!$B56</f>
        <v>10</v>
      </c>
      <c r="N63" s="50"/>
      <c r="O63" s="51"/>
      <c r="Q63" s="63"/>
    </row>
    <row r="64" spans="6:17">
      <c r="F64" s="198">
        <f>Maintenance!$A57</f>
        <v>2033</v>
      </c>
      <c r="G64" s="198">
        <f>Maintenance!$B57</f>
        <v>11</v>
      </c>
      <c r="H64" s="50"/>
      <c r="I64" s="51"/>
      <c r="K64" s="198">
        <f>Maintenance!$A57</f>
        <v>2033</v>
      </c>
      <c r="L64" s="193">
        <f>Maintenance!$B57</f>
        <v>11</v>
      </c>
      <c r="M64" s="156">
        <f>Maintenance!$B57</f>
        <v>11</v>
      </c>
      <c r="N64" s="50"/>
      <c r="O64" s="51"/>
      <c r="Q64" s="63"/>
    </row>
    <row r="65" spans="6:17">
      <c r="F65" s="198">
        <f>Maintenance!$A58</f>
        <v>2034</v>
      </c>
      <c r="G65" s="198">
        <f>Maintenance!$B58</f>
        <v>12</v>
      </c>
      <c r="H65" s="50"/>
      <c r="I65" s="51"/>
      <c r="K65" s="198">
        <f>Maintenance!$A58</f>
        <v>2034</v>
      </c>
      <c r="L65" s="193">
        <f>Maintenance!$B58</f>
        <v>12</v>
      </c>
      <c r="M65" s="156">
        <f>Maintenance!$B58</f>
        <v>12</v>
      </c>
      <c r="N65" s="50"/>
      <c r="O65" s="51"/>
      <c r="Q65" s="63"/>
    </row>
    <row r="66" spans="6:17">
      <c r="F66" s="198">
        <f>Maintenance!$A59</f>
        <v>2035</v>
      </c>
      <c r="G66" s="198">
        <f>Maintenance!$B59</f>
        <v>13</v>
      </c>
      <c r="H66" s="50"/>
      <c r="I66" s="51"/>
      <c r="K66" s="198">
        <f>Maintenance!$A59</f>
        <v>2035</v>
      </c>
      <c r="L66" s="193">
        <f>Maintenance!$B59</f>
        <v>13</v>
      </c>
      <c r="M66" s="156">
        <f>Maintenance!$B59</f>
        <v>13</v>
      </c>
      <c r="N66" s="50"/>
      <c r="O66" s="51"/>
      <c r="Q66" s="63"/>
    </row>
    <row r="67" spans="6:17">
      <c r="F67" s="198">
        <f>Maintenance!$A60</f>
        <v>2036</v>
      </c>
      <c r="G67" s="198">
        <f>Maintenance!$B60</f>
        <v>14</v>
      </c>
      <c r="H67" s="50"/>
      <c r="I67" s="51"/>
      <c r="K67" s="198">
        <f>Maintenance!$A60</f>
        <v>2036</v>
      </c>
      <c r="L67" s="193">
        <f>Maintenance!$B60</f>
        <v>14</v>
      </c>
      <c r="M67" s="156">
        <f>Maintenance!$B60</f>
        <v>14</v>
      </c>
      <c r="N67" s="50"/>
      <c r="O67" s="51"/>
      <c r="Q67" s="63"/>
    </row>
    <row r="68" spans="6:17">
      <c r="F68" s="198">
        <f>Maintenance!$A61</f>
        <v>2037</v>
      </c>
      <c r="G68" s="198">
        <f>Maintenance!$B61</f>
        <v>15</v>
      </c>
      <c r="H68" s="50"/>
      <c r="I68" s="51"/>
      <c r="K68" s="198">
        <f>Maintenance!$A61</f>
        <v>2037</v>
      </c>
      <c r="L68" s="193">
        <f>Maintenance!$B61</f>
        <v>15</v>
      </c>
      <c r="M68" s="156">
        <f>Maintenance!$B61</f>
        <v>15</v>
      </c>
      <c r="N68" s="50"/>
      <c r="O68" s="51"/>
      <c r="Q68" s="63"/>
    </row>
    <row r="69" spans="6:17">
      <c r="F69" s="198">
        <f>Maintenance!$A62</f>
        <v>2038</v>
      </c>
      <c r="G69" s="198">
        <f>Maintenance!$B62</f>
        <v>16</v>
      </c>
      <c r="H69" s="50"/>
      <c r="I69" s="51"/>
      <c r="K69" s="198">
        <f>Maintenance!$A62</f>
        <v>2038</v>
      </c>
      <c r="L69" s="193">
        <f>Maintenance!$B62</f>
        <v>16</v>
      </c>
      <c r="M69" s="156">
        <f>Maintenance!$B62</f>
        <v>16</v>
      </c>
      <c r="N69" s="50"/>
      <c r="O69" s="51"/>
      <c r="Q69" s="63"/>
    </row>
    <row r="70" spans="6:17">
      <c r="F70" s="198">
        <f>Maintenance!$A63</f>
        <v>2039</v>
      </c>
      <c r="G70" s="198">
        <f>Maintenance!$B63</f>
        <v>17</v>
      </c>
      <c r="H70" s="50"/>
      <c r="I70" s="51"/>
      <c r="K70" s="198">
        <f>Maintenance!$A63</f>
        <v>2039</v>
      </c>
      <c r="L70" s="193">
        <f>Maintenance!$B63</f>
        <v>17</v>
      </c>
      <c r="M70" s="156">
        <f>Maintenance!$B63</f>
        <v>17</v>
      </c>
      <c r="N70" s="50"/>
      <c r="O70" s="51"/>
      <c r="Q70" s="63"/>
    </row>
    <row r="71" spans="6:17">
      <c r="F71" s="198">
        <f>Maintenance!$A64</f>
        <v>2040</v>
      </c>
      <c r="G71" s="198">
        <f>Maintenance!$B64</f>
        <v>18</v>
      </c>
      <c r="H71" s="50"/>
      <c r="I71" s="51"/>
      <c r="K71" s="198">
        <f>Maintenance!$A64</f>
        <v>2040</v>
      </c>
      <c r="L71" s="194">
        <f>Maintenance!$B64</f>
        <v>18</v>
      </c>
      <c r="M71" s="156">
        <f>Maintenance!$B64</f>
        <v>18</v>
      </c>
      <c r="N71" s="50"/>
      <c r="O71" s="51"/>
      <c r="Q71" s="63"/>
    </row>
    <row r="72" spans="6:17">
      <c r="F72" s="198">
        <f>Maintenance!$A65</f>
        <v>2041</v>
      </c>
      <c r="G72" s="198">
        <f>Maintenance!$B65</f>
        <v>19</v>
      </c>
      <c r="H72" s="50"/>
      <c r="I72" s="51"/>
      <c r="K72" s="198">
        <f>Maintenance!$A65</f>
        <v>2041</v>
      </c>
      <c r="L72" s="193">
        <f>Maintenance!$B65</f>
        <v>19</v>
      </c>
      <c r="M72" s="156">
        <f>Maintenance!$B65</f>
        <v>19</v>
      </c>
      <c r="N72" s="50"/>
      <c r="O72" s="51"/>
      <c r="Q72" s="63"/>
    </row>
    <row r="73" spans="6:17">
      <c r="F73" s="198">
        <f>Maintenance!$A66</f>
        <v>2042</v>
      </c>
      <c r="G73" s="198">
        <f>Maintenance!$B66</f>
        <v>20</v>
      </c>
      <c r="H73" s="50"/>
      <c r="I73" s="51"/>
      <c r="K73" s="198">
        <f>Maintenance!$A66</f>
        <v>2042</v>
      </c>
      <c r="L73" s="194">
        <f>Maintenance!$B66</f>
        <v>20</v>
      </c>
      <c r="M73" s="156">
        <f>Maintenance!$B66</f>
        <v>20</v>
      </c>
      <c r="N73" s="50"/>
      <c r="O73" s="51"/>
      <c r="Q73" s="63"/>
    </row>
    <row r="74" spans="6:17" ht="15.75" thickBot="1">
      <c r="F74" s="198">
        <f>Maintenance!$A67</f>
        <v>2043</v>
      </c>
      <c r="G74" s="198">
        <f>Maintenance!$B67</f>
        <v>21</v>
      </c>
      <c r="H74" s="149"/>
      <c r="I74" s="150"/>
      <c r="K74" s="198">
        <f>Maintenance!$A67</f>
        <v>2043</v>
      </c>
      <c r="L74" s="193">
        <f>Maintenance!$B67</f>
        <v>21</v>
      </c>
      <c r="M74" s="148">
        <f>Maintenance!$B67</f>
        <v>21</v>
      </c>
      <c r="N74" s="149"/>
      <c r="O74" s="150"/>
      <c r="Q74" s="63"/>
    </row>
    <row r="75" spans="6:17" ht="15.75" thickBot="1">
      <c r="F75" s="286" t="s">
        <v>15</v>
      </c>
      <c r="G75" s="287"/>
      <c r="H75" s="287"/>
      <c r="I75" s="151">
        <f>SUM(I47:I74)</f>
        <v>8662509</v>
      </c>
      <c r="K75" s="286" t="s">
        <v>15</v>
      </c>
      <c r="L75" s="287"/>
      <c r="M75" s="287"/>
      <c r="N75" s="287"/>
      <c r="O75" s="151">
        <f>SUM(O47:O74)</f>
        <v>8536366.68643458</v>
      </c>
      <c r="Q75" s="64"/>
    </row>
  </sheetData>
  <mergeCells count="55">
    <mergeCell ref="AX5:AY5"/>
    <mergeCell ref="AP37:AR37"/>
    <mergeCell ref="AU37:AX37"/>
    <mergeCell ref="A1:O1"/>
    <mergeCell ref="A2:O2"/>
    <mergeCell ref="A3:O3"/>
    <mergeCell ref="AM5:AN5"/>
    <mergeCell ref="AR5:AS5"/>
    <mergeCell ref="AC37:AF37"/>
    <mergeCell ref="C5:D5"/>
    <mergeCell ref="H5:I5"/>
    <mergeCell ref="F37:H37"/>
    <mergeCell ref="N5:O5"/>
    <mergeCell ref="K37:N37"/>
    <mergeCell ref="U5:V5"/>
    <mergeCell ref="Z5:AA5"/>
    <mergeCell ref="BU1:CN1"/>
    <mergeCell ref="BU2:CN2"/>
    <mergeCell ref="BU3:CN3"/>
    <mergeCell ref="S1:AG1"/>
    <mergeCell ref="S2:AG2"/>
    <mergeCell ref="S3:AG3"/>
    <mergeCell ref="AK1:AY1"/>
    <mergeCell ref="AK2:AY2"/>
    <mergeCell ref="AK3:AY3"/>
    <mergeCell ref="BC1:BQ1"/>
    <mergeCell ref="BC2:BQ2"/>
    <mergeCell ref="BC3:BQ3"/>
    <mergeCell ref="BM37:BP37"/>
    <mergeCell ref="BW5:BX5"/>
    <mergeCell ref="CB5:CC5"/>
    <mergeCell ref="CG5:CH5"/>
    <mergeCell ref="CM5:CN5"/>
    <mergeCell ref="CE37:CG37"/>
    <mergeCell ref="AF5:AG5"/>
    <mergeCell ref="X37:Z37"/>
    <mergeCell ref="DB37:DD37"/>
    <mergeCell ref="DG37:DJ37"/>
    <mergeCell ref="CR1:DK1"/>
    <mergeCell ref="CR2:DK2"/>
    <mergeCell ref="CR3:DK3"/>
    <mergeCell ref="CT5:CU5"/>
    <mergeCell ref="CY5:CZ5"/>
    <mergeCell ref="DD5:DE5"/>
    <mergeCell ref="DJ5:DK5"/>
    <mergeCell ref="CJ37:CM37"/>
    <mergeCell ref="BE5:BF5"/>
    <mergeCell ref="BJ5:BK5"/>
    <mergeCell ref="BP5:BQ5"/>
    <mergeCell ref="BH37:BJ37"/>
    <mergeCell ref="F41:O41"/>
    <mergeCell ref="F42:O42"/>
    <mergeCell ref="F43:O43"/>
    <mergeCell ref="H45:I45"/>
    <mergeCell ref="N45:O45"/>
  </mergeCells>
  <pageMargins left="0.7" right="0.7" top="0.75" bottom="0.75" header="0.3" footer="0.3"/>
  <pageSetup scale="1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7" tint="-0.499984740745262"/>
    <pageSetUpPr fitToPage="1"/>
  </sheetPr>
  <dimension ref="A1:J47"/>
  <sheetViews>
    <sheetView showGridLines="0" tabSelected="1" zoomScaleNormal="100" workbookViewId="0">
      <selection sqref="A1:B28"/>
    </sheetView>
  </sheetViews>
  <sheetFormatPr defaultRowHeight="15"/>
  <cols>
    <col min="1" max="1" width="33.42578125" customWidth="1"/>
    <col min="2" max="2" width="21.7109375" customWidth="1"/>
    <col min="4" max="4" width="33.42578125" hidden="1" customWidth="1"/>
    <col min="5" max="6" width="19.42578125" hidden="1" customWidth="1"/>
    <col min="7" max="7" width="9.140625" hidden="1" customWidth="1"/>
    <col min="8" max="8" width="33.42578125" hidden="1" customWidth="1"/>
    <col min="9" max="10" width="19.42578125" hidden="1" customWidth="1"/>
  </cols>
  <sheetData>
    <row r="1" spans="1:10" ht="21">
      <c r="A1" s="355" t="s">
        <v>72</v>
      </c>
      <c r="B1" s="355"/>
    </row>
    <row r="2" spans="1:10">
      <c r="A2" s="356" t="s">
        <v>165</v>
      </c>
      <c r="B2" s="356"/>
    </row>
    <row r="3" spans="1:10" ht="15" customHeight="1">
      <c r="A3" s="357" t="s">
        <v>305</v>
      </c>
      <c r="B3" s="357"/>
    </row>
    <row r="4" spans="1:10" ht="15.75" thickBot="1">
      <c r="A4" s="3"/>
    </row>
    <row r="5" spans="1:10">
      <c r="A5" s="402" t="s">
        <v>78</v>
      </c>
      <c r="B5" s="302"/>
      <c r="D5" s="402" t="s">
        <v>78</v>
      </c>
      <c r="E5" s="469" t="s">
        <v>36</v>
      </c>
      <c r="F5" s="465"/>
      <c r="H5" s="402" t="s">
        <v>78</v>
      </c>
      <c r="I5" s="469" t="s">
        <v>79</v>
      </c>
      <c r="J5" s="465"/>
    </row>
    <row r="6" spans="1:10">
      <c r="A6" s="404"/>
      <c r="B6" s="254" t="s">
        <v>79</v>
      </c>
      <c r="D6" s="404"/>
      <c r="E6" s="253" t="s">
        <v>123</v>
      </c>
      <c r="F6" s="254" t="s">
        <v>79</v>
      </c>
      <c r="H6" s="404"/>
      <c r="I6" s="135" t="s">
        <v>54</v>
      </c>
      <c r="J6" s="136" t="s">
        <v>36</v>
      </c>
    </row>
    <row r="7" spans="1:10">
      <c r="A7" s="4" t="s">
        <v>75</v>
      </c>
      <c r="B7" s="325">
        <f>ROUND(Summaries!AG37,-3)</f>
        <v>-3858000</v>
      </c>
      <c r="D7" s="4" t="s">
        <v>75</v>
      </c>
      <c r="E7" s="1">
        <v>199875000</v>
      </c>
      <c r="F7" s="5">
        <v>109481000</v>
      </c>
      <c r="H7" s="4" t="s">
        <v>75</v>
      </c>
      <c r="I7" s="1">
        <v>0</v>
      </c>
      <c r="J7" s="5">
        <v>109481000</v>
      </c>
    </row>
    <row r="8" spans="1:10">
      <c r="A8" s="4" t="s">
        <v>81</v>
      </c>
      <c r="B8" s="325">
        <f>ROUND(Summaries!AY37,-3)</f>
        <v>7092000</v>
      </c>
      <c r="D8" s="4" t="s">
        <v>81</v>
      </c>
      <c r="E8" s="1">
        <v>62717000</v>
      </c>
      <c r="F8" s="5">
        <v>34990000</v>
      </c>
      <c r="H8" s="4" t="s">
        <v>81</v>
      </c>
      <c r="I8" s="1">
        <v>0</v>
      </c>
      <c r="J8" s="5">
        <v>34990000</v>
      </c>
    </row>
    <row r="9" spans="1:10">
      <c r="A9" s="4" t="s">
        <v>82</v>
      </c>
      <c r="B9" s="325">
        <f>ROUND(Summaries!CN37,-3)</f>
        <v>2632000</v>
      </c>
      <c r="D9" s="4" t="s">
        <v>82</v>
      </c>
      <c r="E9" s="1">
        <v>637356.20911111112</v>
      </c>
      <c r="F9" s="5">
        <v>416000</v>
      </c>
      <c r="H9" s="4" t="s">
        <v>82</v>
      </c>
      <c r="I9" s="1">
        <v>0</v>
      </c>
      <c r="J9" s="5">
        <v>515000</v>
      </c>
    </row>
    <row r="10" spans="1:10">
      <c r="A10" s="4" t="s">
        <v>83</v>
      </c>
      <c r="B10" s="325">
        <f>ROUND(Summaries!BQ37,-3)</f>
        <v>0</v>
      </c>
      <c r="D10" s="4" t="s">
        <v>83</v>
      </c>
      <c r="E10" s="1">
        <v>-688000</v>
      </c>
      <c r="F10" s="5">
        <v>-362000</v>
      </c>
      <c r="H10" s="4" t="s">
        <v>83</v>
      </c>
      <c r="I10" s="1">
        <v>0</v>
      </c>
      <c r="J10" s="5">
        <v>-362000</v>
      </c>
    </row>
    <row r="11" spans="1:10">
      <c r="A11" s="4" t="s">
        <v>80</v>
      </c>
      <c r="B11" s="325">
        <f>ROUND(Summaries!O37,-3)</f>
        <v>0</v>
      </c>
      <c r="D11" s="4" t="s">
        <v>80</v>
      </c>
      <c r="E11" s="1">
        <v>-4769000</v>
      </c>
      <c r="F11" s="5">
        <v>-2503000</v>
      </c>
      <c r="H11" s="4" t="s">
        <v>80</v>
      </c>
      <c r="I11" s="1">
        <v>0</v>
      </c>
      <c r="J11" s="5">
        <v>-2503000</v>
      </c>
    </row>
    <row r="12" spans="1:10">
      <c r="A12" s="4" t="s">
        <v>190</v>
      </c>
      <c r="B12" s="325">
        <f>ROUND(Summaries!DK37,-3)</f>
        <v>11546000</v>
      </c>
      <c r="D12" s="4"/>
      <c r="E12" s="1"/>
      <c r="F12" s="5"/>
      <c r="H12" s="4"/>
      <c r="I12" s="1"/>
      <c r="J12" s="5"/>
    </row>
    <row r="13" spans="1:10">
      <c r="A13" s="103" t="s">
        <v>85</v>
      </c>
      <c r="B13" s="105">
        <f>SUM(B7:B12)</f>
        <v>17412000</v>
      </c>
      <c r="D13" s="103" t="s">
        <v>85</v>
      </c>
      <c r="E13" s="104">
        <v>257772356.20911112</v>
      </c>
      <c r="F13" s="105">
        <v>142022000</v>
      </c>
      <c r="H13" s="103" t="s">
        <v>85</v>
      </c>
      <c r="I13" s="104">
        <v>0</v>
      </c>
      <c r="J13" s="105">
        <v>142121000</v>
      </c>
    </row>
    <row r="14" spans="1:10" ht="10.5" customHeight="1">
      <c r="A14" s="38"/>
      <c r="B14" s="40"/>
      <c r="D14" s="38"/>
      <c r="E14" s="58"/>
      <c r="F14" s="40"/>
      <c r="H14" s="38"/>
      <c r="I14" s="58"/>
      <c r="J14" s="40"/>
    </row>
    <row r="15" spans="1:10">
      <c r="A15" s="4" t="s">
        <v>43</v>
      </c>
      <c r="B15" s="86">
        <f>ROUNDUP('Design.Construction.Salvage'!AF15,-3)</f>
        <v>798000</v>
      </c>
      <c r="D15" s="4" t="s">
        <v>43</v>
      </c>
      <c r="E15" s="161">
        <v>25154000</v>
      </c>
      <c r="F15" s="86">
        <v>20449000</v>
      </c>
      <c r="H15" s="4" t="s">
        <v>43</v>
      </c>
      <c r="I15" s="1">
        <v>0</v>
      </c>
      <c r="J15" s="86">
        <v>22881000</v>
      </c>
    </row>
    <row r="16" spans="1:10">
      <c r="A16" s="4" t="s">
        <v>42</v>
      </c>
      <c r="B16" s="86">
        <f>ROUNDUP('Design.Construction.Salvage'!AE15,-3)</f>
        <v>3707000</v>
      </c>
      <c r="D16" s="4" t="s">
        <v>42</v>
      </c>
      <c r="E16" s="161">
        <v>10072000</v>
      </c>
      <c r="F16" s="86">
        <v>8325000</v>
      </c>
      <c r="H16" s="4" t="s">
        <v>42</v>
      </c>
      <c r="I16" s="1">
        <v>0</v>
      </c>
      <c r="J16" s="86">
        <v>9166000</v>
      </c>
    </row>
    <row r="17" spans="1:10">
      <c r="A17" s="4" t="s">
        <v>84</v>
      </c>
      <c r="B17" s="86">
        <f>ROUNDUP('Design.Construction.Salvage'!AC15,-3)</f>
        <v>133000</v>
      </c>
      <c r="D17" s="4" t="s">
        <v>84</v>
      </c>
      <c r="E17" s="161">
        <v>9990000</v>
      </c>
      <c r="F17" s="86">
        <v>8257000</v>
      </c>
      <c r="H17" s="4" t="s">
        <v>84</v>
      </c>
      <c r="I17" s="1">
        <v>0</v>
      </c>
      <c r="J17" s="86">
        <v>9097000</v>
      </c>
    </row>
    <row r="18" spans="1:10">
      <c r="A18" s="4" t="s">
        <v>98</v>
      </c>
      <c r="B18" s="86">
        <f>ROUNDUP('Design.Construction.Salvage'!AG15,-3)</f>
        <v>1435000</v>
      </c>
      <c r="D18" s="4" t="s">
        <v>98</v>
      </c>
      <c r="E18" s="161">
        <v>1619000</v>
      </c>
      <c r="F18" s="86">
        <v>1321000</v>
      </c>
      <c r="H18" s="4" t="s">
        <v>98</v>
      </c>
      <c r="I18" s="1">
        <v>0</v>
      </c>
      <c r="J18" s="86">
        <v>1451000</v>
      </c>
    </row>
    <row r="19" spans="1:10">
      <c r="A19" s="4" t="s">
        <v>41</v>
      </c>
      <c r="B19" s="86">
        <f>ROUNDUP('Design.Construction.Salvage'!AD15,-3)</f>
        <v>91000</v>
      </c>
      <c r="D19" s="4" t="s">
        <v>41</v>
      </c>
      <c r="E19" s="161">
        <v>929000</v>
      </c>
      <c r="F19" s="86">
        <v>776000</v>
      </c>
      <c r="H19" s="4" t="s">
        <v>41</v>
      </c>
      <c r="I19" s="1">
        <v>0</v>
      </c>
      <c r="J19" s="86">
        <v>850000</v>
      </c>
    </row>
    <row r="20" spans="1:10">
      <c r="A20" s="4" t="s">
        <v>37</v>
      </c>
      <c r="B20" s="86">
        <f>ROUNDUP('Design.Construction.Salvage'!AA15,-3)</f>
        <v>1473000</v>
      </c>
      <c r="D20" s="4" t="s">
        <v>37</v>
      </c>
      <c r="E20" s="161">
        <v>11573000</v>
      </c>
      <c r="F20" s="86">
        <v>9850000</v>
      </c>
      <c r="H20" s="4" t="s">
        <v>37</v>
      </c>
      <c r="I20" s="1">
        <v>0</v>
      </c>
      <c r="J20" s="86">
        <v>10722000</v>
      </c>
    </row>
    <row r="21" spans="1:10">
      <c r="A21" s="4" t="s">
        <v>62</v>
      </c>
      <c r="B21" s="86">
        <f>ROUNDUP('Design.Construction.Salvage'!AB15,-3)</f>
        <v>49000</v>
      </c>
      <c r="D21" s="4" t="s">
        <v>62</v>
      </c>
      <c r="E21" s="161">
        <v>4110000</v>
      </c>
      <c r="F21" s="86">
        <v>3622000</v>
      </c>
      <c r="H21" s="4" t="s">
        <v>62</v>
      </c>
      <c r="I21" s="1">
        <v>0</v>
      </c>
      <c r="J21" s="86">
        <v>3803000</v>
      </c>
    </row>
    <row r="22" spans="1:10">
      <c r="A22" s="4" t="s">
        <v>44</v>
      </c>
      <c r="B22" s="86">
        <f>ROUNDUP('Design.Construction.Salvage'!AH15,-3)</f>
        <v>856000</v>
      </c>
      <c r="D22" s="4" t="s">
        <v>44</v>
      </c>
      <c r="E22" s="161">
        <v>7479000</v>
      </c>
      <c r="F22" s="86">
        <v>6193000</v>
      </c>
      <c r="H22" s="4" t="s">
        <v>44</v>
      </c>
      <c r="I22" s="1">
        <v>0</v>
      </c>
      <c r="J22" s="86">
        <v>6828000</v>
      </c>
    </row>
    <row r="23" spans="1:10">
      <c r="A23" s="103" t="s">
        <v>86</v>
      </c>
      <c r="B23" s="106">
        <f>SUM(B15:B22)</f>
        <v>8542000</v>
      </c>
      <c r="D23" s="103" t="s">
        <v>86</v>
      </c>
      <c r="E23" s="162">
        <v>70926000</v>
      </c>
      <c r="F23" s="106">
        <v>58793000</v>
      </c>
      <c r="H23" s="103" t="s">
        <v>86</v>
      </c>
      <c r="I23" s="104">
        <v>0</v>
      </c>
      <c r="J23" s="106">
        <v>64798000</v>
      </c>
    </row>
    <row r="24" spans="1:10" ht="10.5" customHeight="1">
      <c r="A24" s="38"/>
      <c r="B24" s="66"/>
      <c r="D24" s="38"/>
      <c r="E24" s="39"/>
      <c r="F24" s="66"/>
      <c r="H24" s="38"/>
      <c r="I24" s="39"/>
      <c r="J24" s="66"/>
    </row>
    <row r="25" spans="1:10">
      <c r="A25" s="4" t="s">
        <v>102</v>
      </c>
      <c r="B25" s="86">
        <f>ROUNDUP('Design.Construction.Salvage'!BG16,-3)</f>
        <v>270000</v>
      </c>
      <c r="D25" s="4" t="s">
        <v>102</v>
      </c>
      <c r="E25" s="161">
        <v>18651000</v>
      </c>
      <c r="F25" s="86">
        <v>6926000</v>
      </c>
      <c r="H25" s="4" t="s">
        <v>102</v>
      </c>
      <c r="I25" s="1">
        <v>0</v>
      </c>
      <c r="J25" s="86">
        <v>4211000</v>
      </c>
    </row>
    <row r="26" spans="1:10">
      <c r="A26" s="103" t="s">
        <v>87</v>
      </c>
      <c r="B26" s="106">
        <f>B23-B25</f>
        <v>8272000</v>
      </c>
      <c r="D26" s="103" t="s">
        <v>87</v>
      </c>
      <c r="E26" s="162">
        <v>52275000</v>
      </c>
      <c r="F26" s="106">
        <v>51867000</v>
      </c>
      <c r="H26" s="103" t="s">
        <v>87</v>
      </c>
      <c r="I26" s="104">
        <v>0</v>
      </c>
      <c r="J26" s="106">
        <v>60587000</v>
      </c>
    </row>
    <row r="27" spans="1:10" ht="10.5" customHeight="1">
      <c r="A27" s="38"/>
      <c r="B27" s="66"/>
      <c r="D27" s="38"/>
      <c r="E27" s="39"/>
      <c r="F27" s="66"/>
      <c r="H27" s="38"/>
      <c r="I27" s="39"/>
      <c r="J27" s="66"/>
    </row>
    <row r="28" spans="1:10" ht="15.75" thickBot="1">
      <c r="A28" s="107" t="s">
        <v>88</v>
      </c>
      <c r="B28" s="109">
        <f>B13/B26</f>
        <v>2.1049323017408126</v>
      </c>
      <c r="D28" s="107" t="s">
        <v>88</v>
      </c>
      <c r="E28" s="163">
        <v>4.931082854311069</v>
      </c>
      <c r="F28" s="109">
        <v>2.7381957699500648</v>
      </c>
      <c r="H28" s="107" t="s">
        <v>88</v>
      </c>
      <c r="I28" s="108"/>
      <c r="J28" s="109">
        <v>2.3457342334164095</v>
      </c>
    </row>
    <row r="31" spans="1:10" ht="15.75" thickBot="1">
      <c r="A31" s="3" t="s">
        <v>306</v>
      </c>
    </row>
    <row r="32" spans="1:10">
      <c r="A32" s="384" t="s">
        <v>78</v>
      </c>
      <c r="B32" s="296"/>
    </row>
    <row r="33" spans="1:2">
      <c r="A33" s="385"/>
      <c r="B33" s="157" t="s">
        <v>79</v>
      </c>
    </row>
    <row r="34" spans="1:2">
      <c r="A34" s="4" t="s">
        <v>75</v>
      </c>
      <c r="B34" s="5">
        <f>B7</f>
        <v>-3858000</v>
      </c>
    </row>
    <row r="35" spans="1:2">
      <c r="A35" s="4" t="s">
        <v>81</v>
      </c>
      <c r="B35" s="5">
        <f t="shared" ref="B35:B38" si="0">B8</f>
        <v>7092000</v>
      </c>
    </row>
    <row r="36" spans="1:2">
      <c r="A36" s="4" t="s">
        <v>82</v>
      </c>
      <c r="B36" s="5">
        <f t="shared" si="0"/>
        <v>2632000</v>
      </c>
    </row>
    <row r="37" spans="1:2">
      <c r="A37" s="4" t="s">
        <v>83</v>
      </c>
      <c r="B37" s="5">
        <f t="shared" si="0"/>
        <v>0</v>
      </c>
    </row>
    <row r="38" spans="1:2">
      <c r="A38" s="4" t="s">
        <v>80</v>
      </c>
      <c r="B38" s="5">
        <f t="shared" si="0"/>
        <v>0</v>
      </c>
    </row>
    <row r="39" spans="1:2">
      <c r="A39" s="4" t="s">
        <v>190</v>
      </c>
      <c r="B39" s="5">
        <f>ROUND(Summaries!DK37,-3)</f>
        <v>11546000</v>
      </c>
    </row>
    <row r="40" spans="1:2">
      <c r="A40" s="103" t="s">
        <v>85</v>
      </c>
      <c r="B40" s="105">
        <f>SUM(B34:B39)</f>
        <v>17412000</v>
      </c>
    </row>
    <row r="41" spans="1:2" ht="10.5" customHeight="1">
      <c r="A41" s="38"/>
      <c r="B41" s="40"/>
    </row>
    <row r="42" spans="1:2">
      <c r="A42" s="103" t="s">
        <v>86</v>
      </c>
      <c r="B42" s="106">
        <f>B23</f>
        <v>8542000</v>
      </c>
    </row>
    <row r="43" spans="1:2" ht="10.5" customHeight="1">
      <c r="A43" s="38"/>
      <c r="B43" s="66"/>
    </row>
    <row r="44" spans="1:2">
      <c r="A44" s="4" t="s">
        <v>102</v>
      </c>
      <c r="B44" s="86">
        <f>B25</f>
        <v>270000</v>
      </c>
    </row>
    <row r="45" spans="1:2">
      <c r="A45" s="103" t="s">
        <v>87</v>
      </c>
      <c r="B45" s="106">
        <f>B42-B44</f>
        <v>8272000</v>
      </c>
    </row>
    <row r="46" spans="1:2" ht="10.5" customHeight="1">
      <c r="A46" s="38"/>
      <c r="B46" s="66"/>
    </row>
    <row r="47" spans="1:2" ht="15.75" thickBot="1">
      <c r="A47" s="107" t="s">
        <v>88</v>
      </c>
      <c r="B47" s="109">
        <f>B40/B45</f>
        <v>2.1049323017408126</v>
      </c>
    </row>
  </sheetData>
  <mergeCells count="9">
    <mergeCell ref="A1:B1"/>
    <mergeCell ref="A2:B2"/>
    <mergeCell ref="A3:B3"/>
    <mergeCell ref="A32:A33"/>
    <mergeCell ref="H5:H6"/>
    <mergeCell ref="I5:J5"/>
    <mergeCell ref="A5:A6"/>
    <mergeCell ref="D5:D6"/>
    <mergeCell ref="E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E12"/>
  <sheetViews>
    <sheetView workbookViewId="0">
      <selection activeCell="B13" sqref="B13"/>
    </sheetView>
  </sheetViews>
  <sheetFormatPr defaultRowHeight="15"/>
  <cols>
    <col min="1" max="1" width="14" customWidth="1"/>
    <col min="2" max="2" width="33.28515625" bestFit="1" customWidth="1"/>
    <col min="3" max="3" width="15.28515625" bestFit="1" customWidth="1"/>
    <col min="5" max="5" width="14.28515625" bestFit="1" customWidth="1"/>
    <col min="8" max="8" width="15.5703125" customWidth="1"/>
  </cols>
  <sheetData>
    <row r="1" spans="1:5" ht="18" thickBot="1">
      <c r="A1" s="3" t="s">
        <v>205</v>
      </c>
    </row>
    <row r="2" spans="1:5">
      <c r="A2" s="89" t="s">
        <v>0</v>
      </c>
      <c r="B2" s="90" t="s">
        <v>51</v>
      </c>
      <c r="C2" s="91" t="s">
        <v>11</v>
      </c>
    </row>
    <row r="3" spans="1:5">
      <c r="A3" s="42" t="s">
        <v>1</v>
      </c>
      <c r="B3" s="43" t="s">
        <v>201</v>
      </c>
      <c r="C3" s="58">
        <v>3200</v>
      </c>
      <c r="E3" s="49"/>
    </row>
    <row r="4" spans="1:5">
      <c r="A4" s="41" t="s">
        <v>2</v>
      </c>
      <c r="B4" s="43" t="s">
        <v>6</v>
      </c>
      <c r="C4" s="58">
        <v>63900</v>
      </c>
      <c r="E4" s="49"/>
    </row>
    <row r="5" spans="1:5">
      <c r="A5" s="41" t="s">
        <v>3</v>
      </c>
      <c r="B5" s="43" t="s">
        <v>202</v>
      </c>
      <c r="C5" s="58">
        <v>125000</v>
      </c>
      <c r="E5" s="49"/>
    </row>
    <row r="6" spans="1:5">
      <c r="A6" s="41" t="s">
        <v>4</v>
      </c>
      <c r="B6" s="43" t="s">
        <v>7</v>
      </c>
      <c r="C6" s="58">
        <v>459100</v>
      </c>
      <c r="E6" s="49"/>
    </row>
    <row r="7" spans="1:5">
      <c r="A7" s="42" t="s">
        <v>10</v>
      </c>
      <c r="B7" s="43" t="s">
        <v>9</v>
      </c>
      <c r="C7" s="58">
        <v>9600000</v>
      </c>
      <c r="E7" s="49"/>
    </row>
    <row r="8" spans="1:5">
      <c r="A8" s="42" t="s">
        <v>50</v>
      </c>
      <c r="B8" s="43" t="s">
        <v>203</v>
      </c>
      <c r="C8" s="58">
        <v>174000</v>
      </c>
      <c r="E8" s="49"/>
    </row>
    <row r="9" spans="1:5" ht="15.75" thickBot="1">
      <c r="A9" s="44"/>
      <c r="B9" s="45" t="s">
        <v>204</v>
      </c>
      <c r="C9" s="58">
        <v>132200</v>
      </c>
      <c r="E9" s="49"/>
    </row>
    <row r="10" spans="1:5">
      <c r="A10" s="36"/>
      <c r="B10" s="36"/>
      <c r="C10" s="37"/>
    </row>
    <row r="11" spans="1:5">
      <c r="A11" s="3" t="s">
        <v>12</v>
      </c>
    </row>
    <row r="12" spans="1:5" ht="17.25">
      <c r="A12" s="309" t="s">
        <v>225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K57"/>
  <sheetViews>
    <sheetView zoomScale="85" zoomScaleNormal="85" workbookViewId="0">
      <selection activeCell="K21" sqref="K21"/>
    </sheetView>
  </sheetViews>
  <sheetFormatPr defaultRowHeight="15"/>
  <cols>
    <col min="1" max="4" width="16.85546875" customWidth="1"/>
    <col min="5" max="12" width="18.5703125" customWidth="1"/>
    <col min="14" max="17" width="16.85546875" customWidth="1"/>
    <col min="18" max="23" width="18.5703125" customWidth="1"/>
  </cols>
  <sheetData>
    <row r="1" spans="1:11" ht="11.25" customHeight="1" thickBot="1"/>
    <row r="2" spans="1:11" ht="17.25">
      <c r="A2" s="366" t="s">
        <v>28</v>
      </c>
      <c r="B2" s="374" t="s">
        <v>27</v>
      </c>
      <c r="C2" s="363" t="s">
        <v>47</v>
      </c>
      <c r="D2" s="358" t="s">
        <v>167</v>
      </c>
      <c r="E2" s="359"/>
      <c r="F2" s="359"/>
      <c r="G2" s="359"/>
      <c r="H2" s="359"/>
      <c r="I2" s="359"/>
      <c r="J2" s="359"/>
      <c r="K2" s="360"/>
    </row>
    <row r="3" spans="1:11">
      <c r="A3" s="367"/>
      <c r="B3" s="375"/>
      <c r="C3" s="364"/>
      <c r="D3" s="377" t="s">
        <v>37</v>
      </c>
      <c r="E3" s="368" t="s">
        <v>39</v>
      </c>
      <c r="F3" s="379" t="s">
        <v>38</v>
      </c>
      <c r="G3" s="380"/>
      <c r="H3" s="380"/>
      <c r="I3" s="380"/>
      <c r="J3" s="380"/>
      <c r="K3" s="381"/>
    </row>
    <row r="4" spans="1:11" ht="30">
      <c r="A4" s="367"/>
      <c r="B4" s="376"/>
      <c r="C4" s="365"/>
      <c r="D4" s="378"/>
      <c r="E4" s="369"/>
      <c r="F4" s="211" t="s">
        <v>40</v>
      </c>
      <c r="G4" s="211" t="s">
        <v>41</v>
      </c>
      <c r="H4" s="211" t="s">
        <v>42</v>
      </c>
      <c r="I4" s="211" t="s">
        <v>43</v>
      </c>
      <c r="J4" s="202" t="s">
        <v>98</v>
      </c>
      <c r="K4" s="110" t="s">
        <v>44</v>
      </c>
    </row>
    <row r="5" spans="1:11">
      <c r="A5" s="371" t="s">
        <v>46</v>
      </c>
      <c r="B5" s="372"/>
      <c r="C5" s="373"/>
      <c r="D5" s="139" t="s">
        <v>19</v>
      </c>
      <c r="E5" s="21">
        <v>100</v>
      </c>
      <c r="F5" s="21">
        <v>50</v>
      </c>
      <c r="G5" s="21">
        <v>40</v>
      </c>
      <c r="H5" s="21">
        <v>25</v>
      </c>
      <c r="I5" s="21">
        <v>60</v>
      </c>
      <c r="J5" s="75">
        <v>20</v>
      </c>
      <c r="K5" s="22" t="s">
        <v>19</v>
      </c>
    </row>
    <row r="6" spans="1:11">
      <c r="A6" s="293">
        <v>2019</v>
      </c>
      <c r="B6" s="209">
        <v>-3</v>
      </c>
      <c r="C6" s="156">
        <v>26</v>
      </c>
      <c r="D6" s="115">
        <v>0</v>
      </c>
      <c r="E6" s="215">
        <f>J21</f>
        <v>0.75</v>
      </c>
      <c r="F6" s="25">
        <f>H21</f>
        <v>0.5</v>
      </c>
      <c r="G6" s="25">
        <f>G21</f>
        <v>0.375</v>
      </c>
      <c r="H6" s="25">
        <f>D21</f>
        <v>0</v>
      </c>
      <c r="I6" s="25">
        <f>I21</f>
        <v>0.58333333333333337</v>
      </c>
      <c r="J6" s="25">
        <f>C21</f>
        <v>0</v>
      </c>
      <c r="K6" s="116">
        <v>0</v>
      </c>
    </row>
    <row r="7" spans="1:11">
      <c r="A7" s="293">
        <v>2020</v>
      </c>
      <c r="B7" s="209">
        <v>-2</v>
      </c>
      <c r="C7" s="156">
        <v>25</v>
      </c>
      <c r="D7" s="115">
        <v>0</v>
      </c>
      <c r="E7" s="215">
        <f t="shared" ref="E7:E14" si="0">J22</f>
        <v>0.76</v>
      </c>
      <c r="F7" s="25">
        <f t="shared" ref="F7:F14" si="1">H22</f>
        <v>0.52</v>
      </c>
      <c r="G7" s="25">
        <f t="shared" ref="G7:G14" si="2">G22</f>
        <v>0.4</v>
      </c>
      <c r="H7" s="25">
        <f t="shared" ref="H7:H14" si="3">D22</f>
        <v>0.04</v>
      </c>
      <c r="I7" s="25">
        <f t="shared" ref="I7:I14" si="4">I22</f>
        <v>0.6</v>
      </c>
      <c r="J7" s="25">
        <f t="shared" ref="J7:J14" si="5">C22</f>
        <v>0</v>
      </c>
      <c r="K7" s="116">
        <v>0</v>
      </c>
    </row>
    <row r="8" spans="1:11">
      <c r="A8" s="293">
        <v>2021</v>
      </c>
      <c r="B8" s="209">
        <v>-1</v>
      </c>
      <c r="C8" s="156">
        <v>24</v>
      </c>
      <c r="D8" s="115">
        <v>0</v>
      </c>
      <c r="E8" s="215">
        <f t="shared" si="0"/>
        <v>0.77</v>
      </c>
      <c r="F8" s="25">
        <f t="shared" si="1"/>
        <v>0.54</v>
      </c>
      <c r="G8" s="25">
        <f t="shared" si="2"/>
        <v>0.42499999999999999</v>
      </c>
      <c r="H8" s="25">
        <f t="shared" si="3"/>
        <v>0.08</v>
      </c>
      <c r="I8" s="25">
        <f t="shared" si="4"/>
        <v>0.6166666666666667</v>
      </c>
      <c r="J8" s="25">
        <f t="shared" si="5"/>
        <v>0</v>
      </c>
      <c r="K8" s="116">
        <v>0</v>
      </c>
    </row>
    <row r="9" spans="1:11">
      <c r="A9" s="293">
        <v>2022</v>
      </c>
      <c r="B9" s="209">
        <v>0</v>
      </c>
      <c r="C9" s="156">
        <v>23</v>
      </c>
      <c r="D9" s="115">
        <v>0</v>
      </c>
      <c r="E9" s="215">
        <f t="shared" si="0"/>
        <v>0.78</v>
      </c>
      <c r="F9" s="25">
        <f t="shared" si="1"/>
        <v>0.56000000000000005</v>
      </c>
      <c r="G9" s="25">
        <f t="shared" si="2"/>
        <v>0.45</v>
      </c>
      <c r="H9" s="25">
        <f t="shared" si="3"/>
        <v>0.12</v>
      </c>
      <c r="I9" s="25">
        <f t="shared" si="4"/>
        <v>0.6333333333333333</v>
      </c>
      <c r="J9" s="25">
        <f t="shared" si="5"/>
        <v>0</v>
      </c>
      <c r="K9" s="116">
        <v>0</v>
      </c>
    </row>
    <row r="10" spans="1:11">
      <c r="A10" s="293">
        <v>2023</v>
      </c>
      <c r="B10" s="209">
        <v>1</v>
      </c>
      <c r="C10" s="156">
        <v>22</v>
      </c>
      <c r="D10" s="115">
        <v>0</v>
      </c>
      <c r="E10" s="215">
        <f t="shared" si="0"/>
        <v>0.79</v>
      </c>
      <c r="F10" s="25">
        <f t="shared" si="1"/>
        <v>0.57999999999999996</v>
      </c>
      <c r="G10" s="25">
        <f t="shared" si="2"/>
        <v>0.47499999999999998</v>
      </c>
      <c r="H10" s="25">
        <f t="shared" si="3"/>
        <v>0.16</v>
      </c>
      <c r="I10" s="25">
        <f t="shared" si="4"/>
        <v>0.65</v>
      </c>
      <c r="J10" s="25">
        <f t="shared" si="5"/>
        <v>0</v>
      </c>
      <c r="K10" s="116">
        <v>0</v>
      </c>
    </row>
    <row r="11" spans="1:11">
      <c r="A11" s="293">
        <v>2024</v>
      </c>
      <c r="B11" s="209">
        <v>2</v>
      </c>
      <c r="C11" s="156">
        <v>21</v>
      </c>
      <c r="D11" s="115">
        <v>0</v>
      </c>
      <c r="E11" s="215">
        <f t="shared" si="0"/>
        <v>0.8</v>
      </c>
      <c r="F11" s="25">
        <f t="shared" si="1"/>
        <v>0.6</v>
      </c>
      <c r="G11" s="25">
        <f t="shared" si="2"/>
        <v>0.5</v>
      </c>
      <c r="H11" s="25">
        <f t="shared" si="3"/>
        <v>0.2</v>
      </c>
      <c r="I11" s="25">
        <f t="shared" si="4"/>
        <v>0.66666666666666663</v>
      </c>
      <c r="J11" s="25">
        <f t="shared" si="5"/>
        <v>0</v>
      </c>
      <c r="K11" s="116">
        <v>0</v>
      </c>
    </row>
    <row r="12" spans="1:11">
      <c r="A12" s="293">
        <v>2025</v>
      </c>
      <c r="B12" s="209">
        <v>3</v>
      </c>
      <c r="C12" s="156">
        <v>20</v>
      </c>
      <c r="D12" s="115">
        <v>0</v>
      </c>
      <c r="E12" s="215">
        <f t="shared" si="0"/>
        <v>0.81</v>
      </c>
      <c r="F12" s="25">
        <f t="shared" si="1"/>
        <v>0.62</v>
      </c>
      <c r="G12" s="25">
        <f t="shared" si="2"/>
        <v>0.52500000000000002</v>
      </c>
      <c r="H12" s="25">
        <f t="shared" si="3"/>
        <v>0.24</v>
      </c>
      <c r="I12" s="25">
        <f t="shared" si="4"/>
        <v>0.68333333333333335</v>
      </c>
      <c r="J12" s="25">
        <f t="shared" si="5"/>
        <v>0.05</v>
      </c>
      <c r="K12" s="116">
        <v>0</v>
      </c>
    </row>
    <row r="13" spans="1:11">
      <c r="A13" s="293">
        <v>2026</v>
      </c>
      <c r="B13" s="209">
        <v>4</v>
      </c>
      <c r="C13" s="156">
        <v>19</v>
      </c>
      <c r="D13" s="115">
        <v>0</v>
      </c>
      <c r="E13" s="215">
        <f t="shared" si="0"/>
        <v>0.82</v>
      </c>
      <c r="F13" s="25">
        <f t="shared" si="1"/>
        <v>0.64</v>
      </c>
      <c r="G13" s="25">
        <f t="shared" si="2"/>
        <v>0.55000000000000004</v>
      </c>
      <c r="H13" s="25">
        <f t="shared" si="3"/>
        <v>0.28000000000000003</v>
      </c>
      <c r="I13" s="25">
        <f t="shared" si="4"/>
        <v>0.7</v>
      </c>
      <c r="J13" s="25">
        <f t="shared" si="5"/>
        <v>0.1</v>
      </c>
      <c r="K13" s="116">
        <v>0</v>
      </c>
    </row>
    <row r="14" spans="1:11">
      <c r="A14" s="293">
        <v>2027</v>
      </c>
      <c r="B14" s="209">
        <v>5</v>
      </c>
      <c r="C14" s="156">
        <v>18</v>
      </c>
      <c r="D14" s="115">
        <v>0</v>
      </c>
      <c r="E14" s="215">
        <f t="shared" si="0"/>
        <v>0.83</v>
      </c>
      <c r="F14" s="25">
        <f t="shared" si="1"/>
        <v>0.66</v>
      </c>
      <c r="G14" s="25">
        <f t="shared" si="2"/>
        <v>0.57499999999999996</v>
      </c>
      <c r="H14" s="25">
        <f t="shared" si="3"/>
        <v>0.32</v>
      </c>
      <c r="I14" s="25">
        <f t="shared" si="4"/>
        <v>0.71666666666666667</v>
      </c>
      <c r="J14" s="25">
        <f t="shared" si="5"/>
        <v>0.15</v>
      </c>
      <c r="K14" s="116">
        <v>0</v>
      </c>
    </row>
    <row r="15" spans="1:11" ht="15.75" thickBot="1">
      <c r="A15" s="14">
        <v>2028</v>
      </c>
      <c r="B15" s="24">
        <v>6</v>
      </c>
      <c r="C15" s="54">
        <v>17</v>
      </c>
      <c r="D15" s="117">
        <v>0</v>
      </c>
      <c r="E15" s="217">
        <f>J30</f>
        <v>0.84</v>
      </c>
      <c r="F15" s="26">
        <f>H30</f>
        <v>0.68</v>
      </c>
      <c r="G15" s="26">
        <f>G30</f>
        <v>0.6</v>
      </c>
      <c r="H15" s="26">
        <f>D30</f>
        <v>0.36</v>
      </c>
      <c r="I15" s="26">
        <f>I30</f>
        <v>0.73333333333333328</v>
      </c>
      <c r="J15" s="26">
        <f>C30</f>
        <v>0.2</v>
      </c>
      <c r="K15" s="118">
        <v>0</v>
      </c>
    </row>
    <row r="17" spans="1:10" ht="15.75" thickBot="1"/>
    <row r="18" spans="1:10" ht="17.25">
      <c r="A18" s="382" t="s">
        <v>28</v>
      </c>
      <c r="B18" s="361" t="s">
        <v>47</v>
      </c>
      <c r="C18" s="361" t="s">
        <v>48</v>
      </c>
      <c r="D18" s="361"/>
      <c r="E18" s="361"/>
      <c r="F18" s="361"/>
      <c r="G18" s="361"/>
      <c r="H18" s="361"/>
      <c r="I18" s="361"/>
      <c r="J18" s="370"/>
    </row>
    <row r="19" spans="1:10">
      <c r="A19" s="383"/>
      <c r="B19" s="362"/>
      <c r="C19" s="68">
        <v>20</v>
      </c>
      <c r="D19" s="201">
        <v>25</v>
      </c>
      <c r="E19" s="201">
        <v>30</v>
      </c>
      <c r="F19" s="201">
        <v>35</v>
      </c>
      <c r="G19" s="201">
        <v>40</v>
      </c>
      <c r="H19" s="201">
        <v>50</v>
      </c>
      <c r="I19" s="201">
        <v>60</v>
      </c>
      <c r="J19" s="156">
        <v>100</v>
      </c>
    </row>
    <row r="20" spans="1:10">
      <c r="A20" s="13">
        <v>2018</v>
      </c>
      <c r="B20" s="288">
        <v>26</v>
      </c>
      <c r="C20" s="48">
        <f>IF((C$19-$B20)/C$19&gt;=0,(C$19-$B20)/C$19,0)</f>
        <v>0</v>
      </c>
      <c r="D20" s="48">
        <f t="shared" ref="D20:J20" si="6">IF((D$19-$B20)/D$19&gt;=0,(D$19-$B20)/D$19,0)</f>
        <v>0</v>
      </c>
      <c r="E20" s="48">
        <f t="shared" si="6"/>
        <v>0.13333333333333333</v>
      </c>
      <c r="F20" s="48">
        <f t="shared" si="6"/>
        <v>0.25714285714285712</v>
      </c>
      <c r="G20" s="48">
        <f t="shared" si="6"/>
        <v>0.35</v>
      </c>
      <c r="H20" s="48">
        <f t="shared" si="6"/>
        <v>0.48</v>
      </c>
      <c r="I20" s="48">
        <f t="shared" si="6"/>
        <v>0.56666666666666665</v>
      </c>
      <c r="J20" s="138">
        <f t="shared" si="6"/>
        <v>0.74</v>
      </c>
    </row>
    <row r="21" spans="1:10">
      <c r="A21" s="203">
        <v>2019</v>
      </c>
      <c r="B21" s="288">
        <v>25</v>
      </c>
      <c r="C21" s="48">
        <f t="shared" ref="C21:J36" si="7">IF((C$19-$B21)/C$19&gt;=0,(C$19-$B21)/C$19,0)</f>
        <v>0</v>
      </c>
      <c r="D21" s="48">
        <f t="shared" si="7"/>
        <v>0</v>
      </c>
      <c r="E21" s="48">
        <f t="shared" si="7"/>
        <v>0.16666666666666666</v>
      </c>
      <c r="F21" s="48">
        <f t="shared" si="7"/>
        <v>0.2857142857142857</v>
      </c>
      <c r="G21" s="48">
        <f t="shared" si="7"/>
        <v>0.375</v>
      </c>
      <c r="H21" s="48">
        <f t="shared" si="7"/>
        <v>0.5</v>
      </c>
      <c r="I21" s="48">
        <f t="shared" si="7"/>
        <v>0.58333333333333337</v>
      </c>
      <c r="J21" s="138">
        <f t="shared" si="7"/>
        <v>0.75</v>
      </c>
    </row>
    <row r="22" spans="1:10">
      <c r="A22" s="13">
        <v>2020</v>
      </c>
      <c r="B22" s="288">
        <v>24</v>
      </c>
      <c r="C22" s="48">
        <f>IF((C$19-$B22)/C$19&gt;=0,(C$19-$B22)/C$19,0)</f>
        <v>0</v>
      </c>
      <c r="D22" s="48">
        <f t="shared" si="7"/>
        <v>0.04</v>
      </c>
      <c r="E22" s="48">
        <f t="shared" si="7"/>
        <v>0.2</v>
      </c>
      <c r="F22" s="48">
        <f>IF((F$19-$B22)/F$19&gt;=0,(F$19-$B22)/F$19,0)</f>
        <v>0.31428571428571428</v>
      </c>
      <c r="G22" s="48">
        <f t="shared" si="7"/>
        <v>0.4</v>
      </c>
      <c r="H22" s="48">
        <f t="shared" si="7"/>
        <v>0.52</v>
      </c>
      <c r="I22" s="48">
        <f t="shared" si="7"/>
        <v>0.6</v>
      </c>
      <c r="J22" s="138">
        <f t="shared" si="7"/>
        <v>0.76</v>
      </c>
    </row>
    <row r="23" spans="1:10">
      <c r="A23" s="293">
        <v>2021</v>
      </c>
      <c r="B23" s="288">
        <v>23</v>
      </c>
      <c r="C23" s="48">
        <f t="shared" si="7"/>
        <v>0</v>
      </c>
      <c r="D23" s="48">
        <f t="shared" si="7"/>
        <v>0.08</v>
      </c>
      <c r="E23" s="48">
        <f t="shared" si="7"/>
        <v>0.23333333333333334</v>
      </c>
      <c r="F23" s="48">
        <f t="shared" si="7"/>
        <v>0.34285714285714286</v>
      </c>
      <c r="G23" s="48">
        <f t="shared" si="7"/>
        <v>0.42499999999999999</v>
      </c>
      <c r="H23" s="48">
        <f t="shared" si="7"/>
        <v>0.54</v>
      </c>
      <c r="I23" s="48">
        <f t="shared" si="7"/>
        <v>0.6166666666666667</v>
      </c>
      <c r="J23" s="138">
        <f t="shared" si="7"/>
        <v>0.77</v>
      </c>
    </row>
    <row r="24" spans="1:10">
      <c r="A24" s="13">
        <v>2022</v>
      </c>
      <c r="B24" s="288">
        <v>22</v>
      </c>
      <c r="C24" s="48">
        <f t="shared" si="7"/>
        <v>0</v>
      </c>
      <c r="D24" s="48">
        <f t="shared" si="7"/>
        <v>0.12</v>
      </c>
      <c r="E24" s="48">
        <f t="shared" si="7"/>
        <v>0.26666666666666666</v>
      </c>
      <c r="F24" s="48">
        <f>IF((F$19-$B24)/F$19&gt;=0,(F$19-$B24)/F$19,0)</f>
        <v>0.37142857142857144</v>
      </c>
      <c r="G24" s="48">
        <f t="shared" si="7"/>
        <v>0.45</v>
      </c>
      <c r="H24" s="48">
        <f t="shared" si="7"/>
        <v>0.56000000000000005</v>
      </c>
      <c r="I24" s="48">
        <f>IF((I$19-$B24)/I$19&gt;=0,(I$19-$B24)/I$19,0)</f>
        <v>0.6333333333333333</v>
      </c>
      <c r="J24" s="138">
        <f t="shared" si="7"/>
        <v>0.78</v>
      </c>
    </row>
    <row r="25" spans="1:10">
      <c r="A25" s="293">
        <v>2023</v>
      </c>
      <c r="B25" s="288">
        <v>21</v>
      </c>
      <c r="C25" s="48">
        <f t="shared" si="7"/>
        <v>0</v>
      </c>
      <c r="D25" s="48">
        <f t="shared" si="7"/>
        <v>0.16</v>
      </c>
      <c r="E25" s="48">
        <f t="shared" si="7"/>
        <v>0.3</v>
      </c>
      <c r="F25" s="48">
        <f t="shared" si="7"/>
        <v>0.4</v>
      </c>
      <c r="G25" s="48">
        <f t="shared" si="7"/>
        <v>0.47499999999999998</v>
      </c>
      <c r="H25" s="48">
        <f t="shared" si="7"/>
        <v>0.57999999999999996</v>
      </c>
      <c r="I25" s="48">
        <f t="shared" si="7"/>
        <v>0.65</v>
      </c>
      <c r="J25" s="138">
        <f t="shared" si="7"/>
        <v>0.79</v>
      </c>
    </row>
    <row r="26" spans="1:10">
      <c r="A26" s="13">
        <v>2024</v>
      </c>
      <c r="B26" s="288">
        <v>20</v>
      </c>
      <c r="C26" s="48">
        <f t="shared" si="7"/>
        <v>0</v>
      </c>
      <c r="D26" s="48">
        <f t="shared" si="7"/>
        <v>0.2</v>
      </c>
      <c r="E26" s="48">
        <f t="shared" si="7"/>
        <v>0.33333333333333331</v>
      </c>
      <c r="F26" s="48">
        <f t="shared" si="7"/>
        <v>0.42857142857142855</v>
      </c>
      <c r="G26" s="48">
        <f t="shared" si="7"/>
        <v>0.5</v>
      </c>
      <c r="H26" s="48">
        <f t="shared" si="7"/>
        <v>0.6</v>
      </c>
      <c r="I26" s="48">
        <f t="shared" si="7"/>
        <v>0.66666666666666663</v>
      </c>
      <c r="J26" s="138">
        <f t="shared" si="7"/>
        <v>0.8</v>
      </c>
    </row>
    <row r="27" spans="1:10">
      <c r="A27" s="293">
        <v>2025</v>
      </c>
      <c r="B27" s="288">
        <v>19</v>
      </c>
      <c r="C27" s="48">
        <f t="shared" si="7"/>
        <v>0.05</v>
      </c>
      <c r="D27" s="48">
        <f t="shared" si="7"/>
        <v>0.24</v>
      </c>
      <c r="E27" s="48">
        <f t="shared" si="7"/>
        <v>0.36666666666666664</v>
      </c>
      <c r="F27" s="48">
        <f t="shared" si="7"/>
        <v>0.45714285714285713</v>
      </c>
      <c r="G27" s="48">
        <f t="shared" si="7"/>
        <v>0.52500000000000002</v>
      </c>
      <c r="H27" s="48">
        <f t="shared" si="7"/>
        <v>0.62</v>
      </c>
      <c r="I27" s="48">
        <f t="shared" si="7"/>
        <v>0.68333333333333335</v>
      </c>
      <c r="J27" s="138">
        <f t="shared" si="7"/>
        <v>0.81</v>
      </c>
    </row>
    <row r="28" spans="1:10">
      <c r="A28" s="13">
        <v>2026</v>
      </c>
      <c r="B28" s="288">
        <v>18</v>
      </c>
      <c r="C28" s="48">
        <f t="shared" si="7"/>
        <v>0.1</v>
      </c>
      <c r="D28" s="48">
        <f t="shared" si="7"/>
        <v>0.28000000000000003</v>
      </c>
      <c r="E28" s="48">
        <f t="shared" si="7"/>
        <v>0.4</v>
      </c>
      <c r="F28" s="48">
        <f t="shared" si="7"/>
        <v>0.48571428571428571</v>
      </c>
      <c r="G28" s="48">
        <f t="shared" si="7"/>
        <v>0.55000000000000004</v>
      </c>
      <c r="H28" s="48">
        <f t="shared" si="7"/>
        <v>0.64</v>
      </c>
      <c r="I28" s="48">
        <f t="shared" si="7"/>
        <v>0.7</v>
      </c>
      <c r="J28" s="138">
        <f t="shared" si="7"/>
        <v>0.82</v>
      </c>
    </row>
    <row r="29" spans="1:10">
      <c r="A29" s="293">
        <v>2027</v>
      </c>
      <c r="B29" s="288">
        <v>17</v>
      </c>
      <c r="C29" s="48">
        <f t="shared" si="7"/>
        <v>0.15</v>
      </c>
      <c r="D29" s="48">
        <f t="shared" si="7"/>
        <v>0.32</v>
      </c>
      <c r="E29" s="48">
        <f t="shared" si="7"/>
        <v>0.43333333333333335</v>
      </c>
      <c r="F29" s="48">
        <f t="shared" si="7"/>
        <v>0.51428571428571423</v>
      </c>
      <c r="G29" s="48">
        <f t="shared" si="7"/>
        <v>0.57499999999999996</v>
      </c>
      <c r="H29" s="48">
        <f t="shared" si="7"/>
        <v>0.66</v>
      </c>
      <c r="I29" s="48">
        <f t="shared" si="7"/>
        <v>0.71666666666666667</v>
      </c>
      <c r="J29" s="138">
        <f>IF((J$19-$B29)/J$19&gt;=0,(J$19-$B29)/J$19,0)</f>
        <v>0.83</v>
      </c>
    </row>
    <row r="30" spans="1:10">
      <c r="A30" s="13">
        <v>2028</v>
      </c>
      <c r="B30" s="288">
        <v>16</v>
      </c>
      <c r="C30" s="48">
        <f t="shared" si="7"/>
        <v>0.2</v>
      </c>
      <c r="D30" s="48">
        <f t="shared" si="7"/>
        <v>0.36</v>
      </c>
      <c r="E30" s="48">
        <f t="shared" si="7"/>
        <v>0.46666666666666667</v>
      </c>
      <c r="F30" s="48">
        <f t="shared" si="7"/>
        <v>0.54285714285714282</v>
      </c>
      <c r="G30" s="48">
        <f t="shared" si="7"/>
        <v>0.6</v>
      </c>
      <c r="H30" s="48">
        <f t="shared" si="7"/>
        <v>0.68</v>
      </c>
      <c r="I30" s="48">
        <f t="shared" si="7"/>
        <v>0.73333333333333328</v>
      </c>
      <c r="J30" s="138">
        <f t="shared" si="7"/>
        <v>0.84</v>
      </c>
    </row>
    <row r="31" spans="1:10">
      <c r="A31" s="293">
        <v>2029</v>
      </c>
      <c r="B31" s="288">
        <v>15</v>
      </c>
      <c r="C31" s="48">
        <f t="shared" si="7"/>
        <v>0.25</v>
      </c>
      <c r="D31" s="48">
        <f t="shared" si="7"/>
        <v>0.4</v>
      </c>
      <c r="E31" s="48">
        <f t="shared" si="7"/>
        <v>0.5</v>
      </c>
      <c r="F31" s="48">
        <f t="shared" si="7"/>
        <v>0.5714285714285714</v>
      </c>
      <c r="G31" s="48">
        <f t="shared" si="7"/>
        <v>0.625</v>
      </c>
      <c r="H31" s="48">
        <f t="shared" si="7"/>
        <v>0.7</v>
      </c>
      <c r="I31" s="48">
        <f t="shared" si="7"/>
        <v>0.75</v>
      </c>
      <c r="J31" s="138">
        <f t="shared" si="7"/>
        <v>0.85</v>
      </c>
    </row>
    <row r="32" spans="1:10">
      <c r="A32" s="13">
        <v>2030</v>
      </c>
      <c r="B32" s="288">
        <v>14</v>
      </c>
      <c r="C32" s="48">
        <f t="shared" si="7"/>
        <v>0.3</v>
      </c>
      <c r="D32" s="48">
        <f t="shared" si="7"/>
        <v>0.44</v>
      </c>
      <c r="E32" s="48">
        <f t="shared" si="7"/>
        <v>0.53333333333333333</v>
      </c>
      <c r="F32" s="48">
        <f t="shared" si="7"/>
        <v>0.6</v>
      </c>
      <c r="G32" s="48">
        <f t="shared" si="7"/>
        <v>0.65</v>
      </c>
      <c r="H32" s="48">
        <f t="shared" si="7"/>
        <v>0.72</v>
      </c>
      <c r="I32" s="48">
        <f t="shared" si="7"/>
        <v>0.76666666666666672</v>
      </c>
      <c r="J32" s="138">
        <f t="shared" si="7"/>
        <v>0.86</v>
      </c>
    </row>
    <row r="33" spans="1:10">
      <c r="A33" s="293">
        <v>2031</v>
      </c>
      <c r="B33" s="288">
        <v>13</v>
      </c>
      <c r="C33" s="48">
        <f t="shared" si="7"/>
        <v>0.35</v>
      </c>
      <c r="D33" s="48">
        <f t="shared" si="7"/>
        <v>0.48</v>
      </c>
      <c r="E33" s="48">
        <f t="shared" si="7"/>
        <v>0.56666666666666665</v>
      </c>
      <c r="F33" s="48">
        <f t="shared" si="7"/>
        <v>0.62857142857142856</v>
      </c>
      <c r="G33" s="48">
        <f t="shared" si="7"/>
        <v>0.67500000000000004</v>
      </c>
      <c r="H33" s="48">
        <f t="shared" si="7"/>
        <v>0.74</v>
      </c>
      <c r="I33" s="48">
        <f t="shared" si="7"/>
        <v>0.78333333333333333</v>
      </c>
      <c r="J33" s="138">
        <f t="shared" si="7"/>
        <v>0.87</v>
      </c>
    </row>
    <row r="34" spans="1:10">
      <c r="A34" s="13">
        <v>2032</v>
      </c>
      <c r="B34" s="288">
        <v>12</v>
      </c>
      <c r="C34" s="48">
        <f t="shared" si="7"/>
        <v>0.4</v>
      </c>
      <c r="D34" s="48">
        <f t="shared" si="7"/>
        <v>0.52</v>
      </c>
      <c r="E34" s="48">
        <f t="shared" si="7"/>
        <v>0.6</v>
      </c>
      <c r="F34" s="48">
        <f t="shared" si="7"/>
        <v>0.65714285714285714</v>
      </c>
      <c r="G34" s="48">
        <f t="shared" si="7"/>
        <v>0.7</v>
      </c>
      <c r="H34" s="48">
        <f t="shared" si="7"/>
        <v>0.76</v>
      </c>
      <c r="I34" s="48">
        <f t="shared" si="7"/>
        <v>0.8</v>
      </c>
      <c r="J34" s="138">
        <f t="shared" si="7"/>
        <v>0.88</v>
      </c>
    </row>
    <row r="35" spans="1:10">
      <c r="A35" s="293">
        <v>2033</v>
      </c>
      <c r="B35" s="288">
        <v>11</v>
      </c>
      <c r="C35" s="48">
        <f t="shared" si="7"/>
        <v>0.45</v>
      </c>
      <c r="D35" s="48">
        <f t="shared" si="7"/>
        <v>0.56000000000000005</v>
      </c>
      <c r="E35" s="48">
        <f t="shared" si="7"/>
        <v>0.6333333333333333</v>
      </c>
      <c r="F35" s="48">
        <f t="shared" si="7"/>
        <v>0.68571428571428572</v>
      </c>
      <c r="G35" s="48">
        <f t="shared" si="7"/>
        <v>0.72499999999999998</v>
      </c>
      <c r="H35" s="48">
        <f t="shared" si="7"/>
        <v>0.78</v>
      </c>
      <c r="I35" s="48">
        <f t="shared" si="7"/>
        <v>0.81666666666666665</v>
      </c>
      <c r="J35" s="138">
        <f t="shared" si="7"/>
        <v>0.89</v>
      </c>
    </row>
    <row r="36" spans="1:10">
      <c r="A36" s="13">
        <v>2034</v>
      </c>
      <c r="B36" s="288">
        <v>10</v>
      </c>
      <c r="C36" s="48">
        <f t="shared" si="7"/>
        <v>0.5</v>
      </c>
      <c r="D36" s="48">
        <f t="shared" si="7"/>
        <v>0.6</v>
      </c>
      <c r="E36" s="48">
        <f t="shared" si="7"/>
        <v>0.66666666666666663</v>
      </c>
      <c r="F36" s="48">
        <f t="shared" si="7"/>
        <v>0.7142857142857143</v>
      </c>
      <c r="G36" s="48">
        <f t="shared" si="7"/>
        <v>0.75</v>
      </c>
      <c r="H36" s="48">
        <f t="shared" si="7"/>
        <v>0.8</v>
      </c>
      <c r="I36" s="48">
        <f t="shared" si="7"/>
        <v>0.83333333333333337</v>
      </c>
      <c r="J36" s="138">
        <f t="shared" si="7"/>
        <v>0.9</v>
      </c>
    </row>
    <row r="37" spans="1:10">
      <c r="A37" s="293">
        <v>2035</v>
      </c>
      <c r="B37" s="288">
        <v>9</v>
      </c>
      <c r="C37" s="48">
        <f t="shared" ref="C37:J45" si="8">IF((C$19-$B37)/C$19&gt;=0,(C$19-$B37)/C$19,0)</f>
        <v>0.55000000000000004</v>
      </c>
      <c r="D37" s="48">
        <f t="shared" si="8"/>
        <v>0.64</v>
      </c>
      <c r="E37" s="48">
        <f t="shared" si="8"/>
        <v>0.7</v>
      </c>
      <c r="F37" s="48">
        <f t="shared" si="8"/>
        <v>0.74285714285714288</v>
      </c>
      <c r="G37" s="48">
        <f t="shared" si="8"/>
        <v>0.77500000000000002</v>
      </c>
      <c r="H37" s="48">
        <f t="shared" si="8"/>
        <v>0.82</v>
      </c>
      <c r="I37" s="48">
        <f t="shared" si="8"/>
        <v>0.85</v>
      </c>
      <c r="J37" s="138">
        <f t="shared" si="8"/>
        <v>0.91</v>
      </c>
    </row>
    <row r="38" spans="1:10">
      <c r="A38" s="13">
        <v>2036</v>
      </c>
      <c r="B38" s="288">
        <v>8</v>
      </c>
      <c r="C38" s="48">
        <f t="shared" si="8"/>
        <v>0.6</v>
      </c>
      <c r="D38" s="48">
        <f t="shared" si="8"/>
        <v>0.68</v>
      </c>
      <c r="E38" s="48">
        <f t="shared" si="8"/>
        <v>0.73333333333333328</v>
      </c>
      <c r="F38" s="48">
        <f t="shared" si="8"/>
        <v>0.77142857142857146</v>
      </c>
      <c r="G38" s="48">
        <f t="shared" si="8"/>
        <v>0.8</v>
      </c>
      <c r="H38" s="48">
        <f t="shared" si="8"/>
        <v>0.84</v>
      </c>
      <c r="I38" s="48">
        <f t="shared" si="8"/>
        <v>0.8666666666666667</v>
      </c>
      <c r="J38" s="138">
        <f t="shared" si="8"/>
        <v>0.92</v>
      </c>
    </row>
    <row r="39" spans="1:10">
      <c r="A39" s="293">
        <v>2037</v>
      </c>
      <c r="B39" s="288">
        <v>7</v>
      </c>
      <c r="C39" s="48">
        <f t="shared" si="8"/>
        <v>0.65</v>
      </c>
      <c r="D39" s="48">
        <f t="shared" si="8"/>
        <v>0.72</v>
      </c>
      <c r="E39" s="48">
        <f t="shared" si="8"/>
        <v>0.76666666666666672</v>
      </c>
      <c r="F39" s="48">
        <f t="shared" si="8"/>
        <v>0.8</v>
      </c>
      <c r="G39" s="48">
        <f t="shared" si="8"/>
        <v>0.82499999999999996</v>
      </c>
      <c r="H39" s="48">
        <f t="shared" si="8"/>
        <v>0.86</v>
      </c>
      <c r="I39" s="48">
        <f t="shared" si="8"/>
        <v>0.8833333333333333</v>
      </c>
      <c r="J39" s="138">
        <f t="shared" si="8"/>
        <v>0.93</v>
      </c>
    </row>
    <row r="40" spans="1:10">
      <c r="A40" s="13">
        <v>2038</v>
      </c>
      <c r="B40" s="288">
        <v>6</v>
      </c>
      <c r="C40" s="48">
        <f t="shared" si="8"/>
        <v>0.7</v>
      </c>
      <c r="D40" s="48">
        <f t="shared" si="8"/>
        <v>0.76</v>
      </c>
      <c r="E40" s="48">
        <f t="shared" si="8"/>
        <v>0.8</v>
      </c>
      <c r="F40" s="48">
        <f t="shared" si="8"/>
        <v>0.82857142857142863</v>
      </c>
      <c r="G40" s="48">
        <f t="shared" si="8"/>
        <v>0.85</v>
      </c>
      <c r="H40" s="48">
        <f t="shared" si="8"/>
        <v>0.88</v>
      </c>
      <c r="I40" s="48">
        <f t="shared" si="8"/>
        <v>0.9</v>
      </c>
      <c r="J40" s="138">
        <f t="shared" si="8"/>
        <v>0.94</v>
      </c>
    </row>
    <row r="41" spans="1:10">
      <c r="A41" s="293">
        <v>2039</v>
      </c>
      <c r="B41" s="288">
        <v>5</v>
      </c>
      <c r="C41" s="48">
        <f t="shared" si="8"/>
        <v>0.75</v>
      </c>
      <c r="D41" s="48">
        <f t="shared" si="8"/>
        <v>0.8</v>
      </c>
      <c r="E41" s="48">
        <f t="shared" si="8"/>
        <v>0.83333333333333337</v>
      </c>
      <c r="F41" s="48">
        <f t="shared" si="8"/>
        <v>0.8571428571428571</v>
      </c>
      <c r="G41" s="48">
        <f t="shared" si="8"/>
        <v>0.875</v>
      </c>
      <c r="H41" s="48">
        <f t="shared" si="8"/>
        <v>0.9</v>
      </c>
      <c r="I41" s="48">
        <f t="shared" si="8"/>
        <v>0.91666666666666663</v>
      </c>
      <c r="J41" s="138">
        <f t="shared" si="8"/>
        <v>0.95</v>
      </c>
    </row>
    <row r="42" spans="1:10">
      <c r="A42" s="13">
        <v>2040</v>
      </c>
      <c r="B42" s="288">
        <v>4</v>
      </c>
      <c r="C42" s="48">
        <f t="shared" si="8"/>
        <v>0.8</v>
      </c>
      <c r="D42" s="48">
        <f t="shared" si="8"/>
        <v>0.84</v>
      </c>
      <c r="E42" s="48">
        <f t="shared" si="8"/>
        <v>0.8666666666666667</v>
      </c>
      <c r="F42" s="48">
        <f t="shared" si="8"/>
        <v>0.88571428571428568</v>
      </c>
      <c r="G42" s="48">
        <f t="shared" si="8"/>
        <v>0.9</v>
      </c>
      <c r="H42" s="48">
        <f t="shared" si="8"/>
        <v>0.92</v>
      </c>
      <c r="I42" s="48">
        <f t="shared" si="8"/>
        <v>0.93333333333333335</v>
      </c>
      <c r="J42" s="138">
        <f t="shared" si="8"/>
        <v>0.96</v>
      </c>
    </row>
    <row r="43" spans="1:10">
      <c r="A43" s="293">
        <v>2041</v>
      </c>
      <c r="B43" s="288">
        <v>3</v>
      </c>
      <c r="C43" s="48">
        <f t="shared" si="8"/>
        <v>0.85</v>
      </c>
      <c r="D43" s="48">
        <f t="shared" si="8"/>
        <v>0.88</v>
      </c>
      <c r="E43" s="48">
        <f t="shared" si="8"/>
        <v>0.9</v>
      </c>
      <c r="F43" s="48">
        <f t="shared" si="8"/>
        <v>0.91428571428571426</v>
      </c>
      <c r="G43" s="48">
        <f t="shared" si="8"/>
        <v>0.92500000000000004</v>
      </c>
      <c r="H43" s="48">
        <f t="shared" si="8"/>
        <v>0.94</v>
      </c>
      <c r="I43" s="48">
        <f t="shared" si="8"/>
        <v>0.95</v>
      </c>
      <c r="J43" s="138">
        <f t="shared" si="8"/>
        <v>0.97</v>
      </c>
    </row>
    <row r="44" spans="1:10">
      <c r="A44" s="13">
        <v>2042</v>
      </c>
      <c r="B44" s="201">
        <v>2</v>
      </c>
      <c r="C44" s="48">
        <f t="shared" si="8"/>
        <v>0.9</v>
      </c>
      <c r="D44" s="48">
        <f t="shared" si="8"/>
        <v>0.92</v>
      </c>
      <c r="E44" s="48">
        <f t="shared" si="8"/>
        <v>0.93333333333333335</v>
      </c>
      <c r="F44" s="48">
        <f t="shared" si="8"/>
        <v>0.94285714285714284</v>
      </c>
      <c r="G44" s="48">
        <f t="shared" si="8"/>
        <v>0.95</v>
      </c>
      <c r="H44" s="48">
        <f t="shared" si="8"/>
        <v>0.96</v>
      </c>
      <c r="I44" s="48">
        <f t="shared" si="8"/>
        <v>0.96666666666666667</v>
      </c>
      <c r="J44" s="138">
        <f t="shared" si="8"/>
        <v>0.98</v>
      </c>
    </row>
    <row r="45" spans="1:10">
      <c r="A45" s="293">
        <v>2043</v>
      </c>
      <c r="B45" s="201">
        <v>1</v>
      </c>
      <c r="C45" s="48">
        <f t="shared" si="8"/>
        <v>0.95</v>
      </c>
      <c r="D45" s="48">
        <f t="shared" si="8"/>
        <v>0.96</v>
      </c>
      <c r="E45" s="48">
        <f t="shared" si="8"/>
        <v>0.96666666666666667</v>
      </c>
      <c r="F45" s="48">
        <f t="shared" si="8"/>
        <v>0.97142857142857142</v>
      </c>
      <c r="G45" s="48">
        <f t="shared" si="8"/>
        <v>0.97499999999999998</v>
      </c>
      <c r="H45" s="48">
        <f t="shared" si="8"/>
        <v>0.98</v>
      </c>
      <c r="I45" s="48">
        <f t="shared" si="8"/>
        <v>0.98333333333333328</v>
      </c>
      <c r="J45" s="138">
        <f t="shared" si="8"/>
        <v>0.99</v>
      </c>
    </row>
    <row r="46" spans="1:10">
      <c r="A46" s="13"/>
      <c r="B46" s="201"/>
      <c r="C46" s="209"/>
      <c r="D46" s="209"/>
      <c r="E46" s="209"/>
      <c r="F46" s="209"/>
      <c r="G46" s="209"/>
      <c r="H46" s="209"/>
      <c r="I46" s="209"/>
      <c r="J46" s="27"/>
    </row>
    <row r="47" spans="1:10">
      <c r="A47" s="289"/>
      <c r="B47" s="201"/>
      <c r="C47" s="209"/>
      <c r="D47" s="209"/>
      <c r="E47" s="209"/>
      <c r="F47" s="209"/>
      <c r="G47" s="209"/>
      <c r="H47" s="209"/>
      <c r="I47" s="209"/>
      <c r="J47" s="27"/>
    </row>
    <row r="48" spans="1:10">
      <c r="A48" s="13"/>
      <c r="B48" s="201"/>
      <c r="C48" s="209"/>
      <c r="D48" s="209"/>
      <c r="E48" s="209"/>
      <c r="F48" s="209"/>
      <c r="G48" s="209"/>
      <c r="H48" s="209"/>
      <c r="I48" s="209"/>
      <c r="J48" s="27"/>
    </row>
    <row r="49" spans="1:10">
      <c r="A49" s="203"/>
      <c r="B49" s="201"/>
      <c r="C49" s="209"/>
      <c r="D49" s="209"/>
      <c r="E49" s="209"/>
      <c r="F49" s="209"/>
      <c r="G49" s="209"/>
      <c r="H49" s="209"/>
      <c r="I49" s="209"/>
      <c r="J49" s="27"/>
    </row>
    <row r="50" spans="1:10">
      <c r="A50" s="13"/>
      <c r="B50" s="201"/>
      <c r="C50" s="209"/>
      <c r="D50" s="209"/>
      <c r="E50" s="209"/>
      <c r="F50" s="209"/>
      <c r="G50" s="209"/>
      <c r="H50" s="209"/>
      <c r="I50" s="209"/>
      <c r="J50" s="27"/>
    </row>
    <row r="51" spans="1:10">
      <c r="A51" s="203"/>
      <c r="B51" s="201"/>
      <c r="C51" s="209"/>
      <c r="D51" s="209"/>
      <c r="E51" s="209"/>
      <c r="F51" s="209"/>
      <c r="G51" s="209"/>
      <c r="H51" s="209"/>
      <c r="I51" s="209"/>
      <c r="J51" s="27"/>
    </row>
    <row r="52" spans="1:10" ht="15.75" thickBot="1">
      <c r="A52" s="23"/>
      <c r="B52" s="80"/>
      <c r="C52" s="24"/>
      <c r="D52" s="24"/>
      <c r="E52" s="24"/>
      <c r="F52" s="24"/>
      <c r="G52" s="24"/>
      <c r="H52" s="24"/>
      <c r="I52" s="24"/>
      <c r="J52" s="28"/>
    </row>
    <row r="56" spans="1:10">
      <c r="A56" s="3" t="s">
        <v>13</v>
      </c>
    </row>
    <row r="57" spans="1:10" ht="17.25">
      <c r="A57" t="s">
        <v>226</v>
      </c>
    </row>
  </sheetData>
  <mergeCells count="11">
    <mergeCell ref="D2:K2"/>
    <mergeCell ref="B18:B19"/>
    <mergeCell ref="C2:C4"/>
    <mergeCell ref="A2:A4"/>
    <mergeCell ref="E3:E4"/>
    <mergeCell ref="C18:J18"/>
    <mergeCell ref="A5:C5"/>
    <mergeCell ref="B2:B4"/>
    <mergeCell ref="D3:D4"/>
    <mergeCell ref="F3:K3"/>
    <mergeCell ref="A18:A1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L74"/>
  <sheetViews>
    <sheetView topLeftCell="A13" zoomScale="85" zoomScaleNormal="85" workbookViewId="0">
      <selection activeCell="C48" sqref="C48:E48"/>
    </sheetView>
  </sheetViews>
  <sheetFormatPr defaultRowHeight="15"/>
  <cols>
    <col min="1" max="15" width="20" customWidth="1"/>
    <col min="16" max="16" width="39.85546875" customWidth="1"/>
  </cols>
  <sheetData>
    <row r="1" spans="1:12" ht="15.75" thickBot="1">
      <c r="A1" s="256"/>
      <c r="B1" s="256"/>
      <c r="C1" s="257"/>
      <c r="D1" s="258"/>
      <c r="E1" s="258"/>
      <c r="F1" s="259"/>
      <c r="G1" s="259"/>
      <c r="H1" s="260"/>
      <c r="I1" s="260"/>
      <c r="J1" s="260"/>
      <c r="K1" s="260"/>
      <c r="L1" s="261"/>
    </row>
    <row r="2" spans="1:12" ht="16.5" thickTop="1">
      <c r="A2" s="329" t="s">
        <v>259</v>
      </c>
      <c r="B2" s="327"/>
      <c r="C2" s="328"/>
      <c r="D2" s="328"/>
      <c r="E2" s="328"/>
      <c r="F2" s="341"/>
      <c r="G2" s="342"/>
      <c r="H2" s="260"/>
      <c r="I2" s="260"/>
      <c r="J2" s="260"/>
      <c r="K2" s="260"/>
      <c r="L2" s="261"/>
    </row>
    <row r="3" spans="1:12">
      <c r="A3" s="343">
        <v>1</v>
      </c>
      <c r="B3" s="331" t="s">
        <v>260</v>
      </c>
      <c r="C3" s="332"/>
      <c r="D3" s="332" t="s">
        <v>267</v>
      </c>
      <c r="E3" s="333">
        <v>4.5</v>
      </c>
      <c r="F3" s="339">
        <v>26480</v>
      </c>
      <c r="G3" s="335">
        <f t="shared" ref="G3:G11" si="0">E3*F3</f>
        <v>119160</v>
      </c>
      <c r="H3" s="260"/>
      <c r="I3" s="260"/>
      <c r="J3" s="260"/>
      <c r="K3" s="260"/>
      <c r="L3" s="261"/>
    </row>
    <row r="4" spans="1:12">
      <c r="A4" s="343">
        <f t="shared" ref="A4:A11" si="1">A3+1</f>
        <v>2</v>
      </c>
      <c r="B4" s="331" t="s">
        <v>262</v>
      </c>
      <c r="C4" s="332"/>
      <c r="D4" s="332" t="s">
        <v>268</v>
      </c>
      <c r="E4" s="333">
        <v>700</v>
      </c>
      <c r="F4" s="339">
        <v>17</v>
      </c>
      <c r="G4" s="335">
        <f t="shared" si="0"/>
        <v>11900</v>
      </c>
      <c r="H4" s="260"/>
      <c r="I4" s="260"/>
      <c r="J4" s="260"/>
      <c r="K4" s="260"/>
      <c r="L4" s="261"/>
    </row>
    <row r="5" spans="1:12">
      <c r="A5" s="343">
        <f t="shared" si="1"/>
        <v>3</v>
      </c>
      <c r="B5" s="331" t="s">
        <v>263</v>
      </c>
      <c r="C5" s="332"/>
      <c r="D5" s="332" t="s">
        <v>268</v>
      </c>
      <c r="E5" s="333">
        <v>500</v>
      </c>
      <c r="F5" s="339">
        <v>29</v>
      </c>
      <c r="G5" s="335">
        <f t="shared" si="0"/>
        <v>14500</v>
      </c>
      <c r="H5" s="260"/>
      <c r="I5" s="260"/>
      <c r="J5" s="260"/>
      <c r="K5" s="260"/>
      <c r="L5" s="261"/>
    </row>
    <row r="6" spans="1:12">
      <c r="A6" s="343">
        <f t="shared" si="1"/>
        <v>4</v>
      </c>
      <c r="B6" s="331" t="s">
        <v>264</v>
      </c>
      <c r="C6" s="332"/>
      <c r="D6" s="332" t="s">
        <v>269</v>
      </c>
      <c r="E6" s="333">
        <v>105</v>
      </c>
      <c r="F6" s="339">
        <v>4319</v>
      </c>
      <c r="G6" s="335">
        <f t="shared" si="0"/>
        <v>453495</v>
      </c>
      <c r="H6" s="260"/>
      <c r="I6" s="260"/>
      <c r="J6" s="260"/>
      <c r="K6" s="260"/>
      <c r="L6" s="261"/>
    </row>
    <row r="7" spans="1:12">
      <c r="A7" s="343">
        <f t="shared" si="1"/>
        <v>5</v>
      </c>
      <c r="B7" s="331" t="s">
        <v>265</v>
      </c>
      <c r="C7" s="332"/>
      <c r="D7" s="332" t="s">
        <v>267</v>
      </c>
      <c r="E7" s="333">
        <v>130</v>
      </c>
      <c r="F7" s="339">
        <v>4800</v>
      </c>
      <c r="G7" s="335">
        <f t="shared" si="0"/>
        <v>624000</v>
      </c>
      <c r="H7" s="260"/>
      <c r="I7" s="260"/>
      <c r="J7" s="260"/>
      <c r="K7" s="260"/>
      <c r="L7" s="261"/>
    </row>
    <row r="8" spans="1:12">
      <c r="A8" s="343">
        <f t="shared" si="1"/>
        <v>6</v>
      </c>
      <c r="B8" s="331" t="s">
        <v>266</v>
      </c>
      <c r="C8" s="332"/>
      <c r="D8" s="332" t="s">
        <v>270</v>
      </c>
      <c r="E8" s="334">
        <v>38</v>
      </c>
      <c r="F8" s="339">
        <v>6113</v>
      </c>
      <c r="G8" s="335">
        <f t="shared" si="0"/>
        <v>232294</v>
      </c>
      <c r="H8" s="260"/>
      <c r="I8" s="260"/>
      <c r="J8" s="260"/>
      <c r="K8" s="260"/>
      <c r="L8" s="261"/>
    </row>
    <row r="9" spans="1:12">
      <c r="A9" s="343">
        <f t="shared" si="1"/>
        <v>7</v>
      </c>
      <c r="B9" s="331" t="s">
        <v>271</v>
      </c>
      <c r="C9" s="344"/>
      <c r="D9" s="332" t="s">
        <v>268</v>
      </c>
      <c r="E9" s="333">
        <v>1200</v>
      </c>
      <c r="F9" s="339">
        <v>90</v>
      </c>
      <c r="G9" s="335">
        <f t="shared" ref="G9" si="2">E9*F9</f>
        <v>108000</v>
      </c>
      <c r="H9" s="260"/>
      <c r="I9" s="260"/>
      <c r="J9" s="260"/>
      <c r="K9" s="260"/>
      <c r="L9" s="261"/>
    </row>
    <row r="10" spans="1:12">
      <c r="A10" s="343">
        <f t="shared" si="1"/>
        <v>8</v>
      </c>
      <c r="B10" s="331" t="s">
        <v>272</v>
      </c>
      <c r="C10" s="344"/>
      <c r="D10" s="332" t="s">
        <v>274</v>
      </c>
      <c r="E10" s="333">
        <v>50</v>
      </c>
      <c r="F10" s="339">
        <v>309</v>
      </c>
      <c r="G10" s="335">
        <f t="shared" si="0"/>
        <v>15450</v>
      </c>
      <c r="H10" s="260"/>
      <c r="I10" s="260"/>
      <c r="J10" s="260"/>
      <c r="K10" s="260"/>
      <c r="L10" s="261"/>
    </row>
    <row r="11" spans="1:12" ht="15.75" thickBot="1">
      <c r="A11" s="345">
        <f t="shared" si="1"/>
        <v>9</v>
      </c>
      <c r="B11" s="336" t="s">
        <v>273</v>
      </c>
      <c r="C11" s="346"/>
      <c r="D11" s="337" t="s">
        <v>268</v>
      </c>
      <c r="E11" s="347">
        <v>150</v>
      </c>
      <c r="F11" s="340">
        <v>51</v>
      </c>
      <c r="G11" s="338">
        <f t="shared" si="0"/>
        <v>7650</v>
      </c>
      <c r="H11" s="260"/>
      <c r="I11" s="260"/>
      <c r="J11" s="260"/>
      <c r="K11" s="260"/>
      <c r="L11" s="261"/>
    </row>
    <row r="12" spans="1:12" ht="17.25" thickTop="1" thickBot="1">
      <c r="A12" s="262"/>
      <c r="B12" s="326"/>
      <c r="C12" s="326"/>
      <c r="D12" s="266"/>
      <c r="E12" s="263"/>
      <c r="F12" s="264"/>
      <c r="G12" s="264"/>
      <c r="H12" s="260"/>
      <c r="I12" s="260"/>
      <c r="J12" s="260"/>
      <c r="K12" s="260"/>
      <c r="L12" s="261"/>
    </row>
    <row r="13" spans="1:12" ht="16.5" thickTop="1">
      <c r="A13" s="329" t="s">
        <v>275</v>
      </c>
      <c r="B13" s="327"/>
      <c r="C13" s="328"/>
      <c r="D13" s="328"/>
      <c r="E13" s="328"/>
      <c r="F13" s="341"/>
      <c r="G13" s="342"/>
      <c r="H13" s="260"/>
      <c r="I13" s="260"/>
      <c r="J13" s="260"/>
      <c r="K13" s="260"/>
      <c r="L13" s="261"/>
    </row>
    <row r="14" spans="1:12" s="330" customFormat="1">
      <c r="A14" s="343">
        <v>1</v>
      </c>
      <c r="B14" s="331" t="s">
        <v>261</v>
      </c>
      <c r="C14" s="332"/>
      <c r="D14" s="332" t="s">
        <v>268</v>
      </c>
      <c r="E14" s="333">
        <v>3000</v>
      </c>
      <c r="F14" s="339">
        <v>27</v>
      </c>
      <c r="G14" s="335">
        <f t="shared" ref="G14" si="3">E14*F14</f>
        <v>81000</v>
      </c>
      <c r="H14" s="260"/>
      <c r="I14" s="260"/>
      <c r="J14" s="260"/>
      <c r="K14" s="260"/>
      <c r="L14" s="261"/>
    </row>
    <row r="15" spans="1:12" s="330" customFormat="1" ht="16.5" thickBot="1">
      <c r="A15" s="267"/>
      <c r="B15" s="56"/>
      <c r="C15" s="265"/>
      <c r="D15" s="56"/>
      <c r="E15" s="268"/>
      <c r="F15" s="269"/>
      <c r="G15" s="270"/>
      <c r="H15" s="260"/>
      <c r="I15" s="260"/>
      <c r="J15" s="260"/>
      <c r="K15" s="260"/>
      <c r="L15" s="261"/>
    </row>
    <row r="16" spans="1:12" s="330" customFormat="1" ht="16.5" thickTop="1">
      <c r="A16" s="329" t="s">
        <v>276</v>
      </c>
      <c r="B16" s="327"/>
      <c r="C16" s="328"/>
      <c r="D16" s="328"/>
      <c r="E16" s="328"/>
      <c r="F16" s="341"/>
      <c r="G16" s="342"/>
      <c r="H16" s="260"/>
      <c r="I16" s="260"/>
      <c r="J16" s="260"/>
      <c r="K16" s="260"/>
      <c r="L16" s="261"/>
    </row>
    <row r="17" spans="1:12" s="330" customFormat="1">
      <c r="A17" s="343">
        <v>1</v>
      </c>
      <c r="B17" s="331" t="s">
        <v>277</v>
      </c>
      <c r="C17" s="332"/>
      <c r="D17" s="332" t="s">
        <v>267</v>
      </c>
      <c r="E17" s="333">
        <v>10</v>
      </c>
      <c r="F17" s="339">
        <v>924</v>
      </c>
      <c r="G17" s="335">
        <f t="shared" ref="G17:G19" si="4">E17*F17</f>
        <v>9240</v>
      </c>
      <c r="H17" s="260"/>
      <c r="I17" s="260"/>
      <c r="J17" s="260"/>
      <c r="K17" s="260"/>
      <c r="L17" s="261"/>
    </row>
    <row r="18" spans="1:12" s="330" customFormat="1">
      <c r="A18" s="343">
        <f t="shared" ref="A18:A19" si="5">A17+1</f>
        <v>2</v>
      </c>
      <c r="B18" s="331" t="s">
        <v>278</v>
      </c>
      <c r="C18" s="332"/>
      <c r="D18" s="332" t="s">
        <v>267</v>
      </c>
      <c r="E18" s="333">
        <v>60</v>
      </c>
      <c r="F18" s="339">
        <v>924</v>
      </c>
      <c r="G18" s="335">
        <f t="shared" si="4"/>
        <v>55440</v>
      </c>
      <c r="H18" s="260"/>
      <c r="I18" s="260"/>
      <c r="J18" s="260"/>
      <c r="K18" s="260"/>
      <c r="L18" s="261"/>
    </row>
    <row r="19" spans="1:12">
      <c r="A19" s="343">
        <f t="shared" si="5"/>
        <v>3</v>
      </c>
      <c r="B19" s="331" t="s">
        <v>279</v>
      </c>
      <c r="C19" s="332"/>
      <c r="D19" s="332" t="s">
        <v>280</v>
      </c>
      <c r="E19" s="333">
        <v>30</v>
      </c>
      <c r="F19" s="339">
        <v>672</v>
      </c>
      <c r="G19" s="335">
        <f t="shared" si="4"/>
        <v>20160</v>
      </c>
      <c r="H19" s="260"/>
      <c r="I19" s="260"/>
      <c r="J19" s="260"/>
      <c r="K19" s="260"/>
      <c r="L19" s="261"/>
    </row>
    <row r="20" spans="1:12" ht="15.75" thickBot="1">
      <c r="A20" s="256"/>
      <c r="B20" s="256"/>
      <c r="C20" s="257"/>
      <c r="D20" s="258"/>
      <c r="E20" s="258"/>
      <c r="F20" s="259"/>
      <c r="G20" s="259"/>
      <c r="H20" s="260"/>
      <c r="I20" s="260"/>
      <c r="J20" s="260"/>
      <c r="K20" s="260"/>
      <c r="L20" s="261"/>
    </row>
    <row r="21" spans="1:12" ht="16.5" thickTop="1">
      <c r="A21" s="329" t="s">
        <v>281</v>
      </c>
      <c r="B21" s="327"/>
      <c r="C21" s="328"/>
      <c r="D21" s="328"/>
      <c r="E21" s="328"/>
      <c r="F21" s="341"/>
      <c r="G21" s="342"/>
      <c r="H21" s="260"/>
      <c r="I21" s="260"/>
      <c r="J21" s="260"/>
      <c r="K21" s="260"/>
      <c r="L21" s="261"/>
    </row>
    <row r="22" spans="1:12">
      <c r="A22" s="343">
        <v>1</v>
      </c>
      <c r="B22" s="331" t="s">
        <v>282</v>
      </c>
      <c r="C22" s="332"/>
      <c r="D22" s="332" t="s">
        <v>284</v>
      </c>
      <c r="E22" s="333">
        <v>3000</v>
      </c>
      <c r="F22" s="339">
        <v>8</v>
      </c>
      <c r="G22" s="335">
        <f t="shared" ref="G22:G23" si="6">E22*F22</f>
        <v>24000</v>
      </c>
      <c r="H22" s="260"/>
      <c r="I22" s="260"/>
      <c r="J22" s="260"/>
      <c r="K22" s="260"/>
      <c r="L22" s="261"/>
    </row>
    <row r="23" spans="1:12">
      <c r="A23" s="343">
        <f t="shared" ref="A23" si="7">A22+1</f>
        <v>2</v>
      </c>
      <c r="B23" s="331" t="s">
        <v>283</v>
      </c>
      <c r="C23" s="332"/>
      <c r="D23" s="332" t="s">
        <v>285</v>
      </c>
      <c r="E23" s="333">
        <v>37000</v>
      </c>
      <c r="F23" s="339">
        <v>1</v>
      </c>
      <c r="G23" s="335">
        <f t="shared" si="6"/>
        <v>37000</v>
      </c>
      <c r="H23" s="260"/>
      <c r="I23" s="260"/>
      <c r="J23" s="260"/>
      <c r="K23" s="260"/>
      <c r="L23" s="261"/>
    </row>
    <row r="24" spans="1:12" ht="15.75" thickBot="1">
      <c r="A24" s="256"/>
      <c r="B24" s="256"/>
      <c r="C24" s="257"/>
      <c r="D24" s="258"/>
      <c r="E24" s="258"/>
      <c r="F24" s="259"/>
      <c r="G24" s="259"/>
      <c r="H24" s="260"/>
      <c r="I24" s="260"/>
      <c r="J24" s="260"/>
      <c r="K24" s="260"/>
      <c r="L24" s="261"/>
    </row>
    <row r="25" spans="1:12" ht="16.5" thickTop="1">
      <c r="A25" s="329" t="s">
        <v>286</v>
      </c>
      <c r="B25" s="327"/>
      <c r="C25" s="328"/>
      <c r="D25" s="328"/>
      <c r="E25" s="328"/>
      <c r="F25" s="341"/>
      <c r="G25" s="342"/>
      <c r="H25" s="260"/>
      <c r="I25" s="260"/>
      <c r="J25" s="260"/>
      <c r="K25" s="260"/>
      <c r="L25" s="261"/>
    </row>
    <row r="26" spans="1:12">
      <c r="A26" s="343">
        <v>1</v>
      </c>
      <c r="B26" s="331" t="s">
        <v>287</v>
      </c>
      <c r="C26" s="332"/>
      <c r="D26" s="332" t="s">
        <v>285</v>
      </c>
      <c r="E26" s="333">
        <v>27199</v>
      </c>
      <c r="F26" s="339">
        <v>1</v>
      </c>
      <c r="G26" s="335">
        <f t="shared" ref="G26:G28" si="8">E26*F26</f>
        <v>27199</v>
      </c>
      <c r="H26" s="260"/>
      <c r="I26" s="260"/>
      <c r="J26" s="260"/>
      <c r="K26" s="260"/>
      <c r="L26" s="261"/>
    </row>
    <row r="27" spans="1:12">
      <c r="A27" s="343">
        <f t="shared" ref="A27:A28" si="9">A26+1</f>
        <v>2</v>
      </c>
      <c r="B27" s="331" t="s">
        <v>288</v>
      </c>
      <c r="C27" s="332"/>
      <c r="D27" s="332" t="s">
        <v>285</v>
      </c>
      <c r="E27" s="333">
        <v>46012</v>
      </c>
      <c r="F27" s="339">
        <v>1</v>
      </c>
      <c r="G27" s="335">
        <f t="shared" si="8"/>
        <v>46012</v>
      </c>
      <c r="H27" s="260"/>
      <c r="I27" s="260"/>
      <c r="J27" s="260"/>
      <c r="K27" s="260"/>
      <c r="L27" s="261"/>
    </row>
    <row r="28" spans="1:12">
      <c r="A28" s="343">
        <f t="shared" si="9"/>
        <v>3</v>
      </c>
      <c r="B28" s="331" t="s">
        <v>289</v>
      </c>
      <c r="C28" s="332"/>
      <c r="D28" s="332" t="s">
        <v>285</v>
      </c>
      <c r="E28" s="333">
        <v>188650</v>
      </c>
      <c r="F28" s="339">
        <v>1</v>
      </c>
      <c r="G28" s="335">
        <f t="shared" si="8"/>
        <v>188650</v>
      </c>
      <c r="H28" s="260"/>
      <c r="I28" s="260"/>
      <c r="J28" s="260"/>
      <c r="K28" s="260"/>
      <c r="L28" s="261"/>
    </row>
    <row r="29" spans="1:12">
      <c r="A29" s="256"/>
      <c r="B29" s="256"/>
      <c r="C29" s="257"/>
      <c r="D29" s="258"/>
      <c r="E29" s="258"/>
      <c r="F29" s="259"/>
      <c r="G29" s="259"/>
      <c r="H29" s="260"/>
      <c r="I29" s="260"/>
      <c r="J29" s="260"/>
      <c r="K29" s="260"/>
      <c r="L29" s="261"/>
    </row>
    <row r="30" spans="1:12">
      <c r="A30" s="256"/>
      <c r="B30" s="256"/>
      <c r="C30" s="257"/>
      <c r="D30" s="258"/>
      <c r="E30" s="258"/>
      <c r="F30" s="259"/>
      <c r="G30" s="259"/>
      <c r="H30" s="271"/>
      <c r="I30" s="271"/>
      <c r="J30" s="271"/>
      <c r="K30" s="271"/>
      <c r="L30" s="272"/>
    </row>
    <row r="31" spans="1:12">
      <c r="A31" s="256"/>
      <c r="B31" s="256"/>
      <c r="C31" s="257"/>
      <c r="D31" s="258"/>
      <c r="E31" s="258"/>
      <c r="F31" s="259"/>
      <c r="G31" s="259"/>
      <c r="H31" s="271"/>
      <c r="I31" s="271"/>
      <c r="J31" s="271"/>
      <c r="K31" s="271"/>
      <c r="L31" s="272"/>
    </row>
    <row r="32" spans="1:12">
      <c r="A32" s="256"/>
      <c r="B32" s="256"/>
      <c r="C32" s="257"/>
      <c r="D32" s="258"/>
      <c r="E32" s="258" t="s">
        <v>290</v>
      </c>
      <c r="F32" s="259"/>
      <c r="G32" s="259">
        <f>SUM(G3:G11,G14,G17:G19,G22:G23,G26:G28)</f>
        <v>2075150</v>
      </c>
      <c r="H32" s="273"/>
      <c r="I32" s="273"/>
      <c r="J32" s="273"/>
      <c r="K32" s="273"/>
      <c r="L32" s="273"/>
    </row>
    <row r="33" spans="1:12">
      <c r="A33" s="256"/>
      <c r="B33" s="256"/>
      <c r="C33" s="257"/>
      <c r="D33" s="258"/>
      <c r="E33" s="258" t="s">
        <v>182</v>
      </c>
      <c r="F33" s="259"/>
      <c r="G33" s="259">
        <f>G32*0.15</f>
        <v>311272.5</v>
      </c>
      <c r="H33" s="273"/>
      <c r="I33" s="273"/>
      <c r="J33" s="273"/>
      <c r="K33" s="273"/>
      <c r="L33" s="273"/>
    </row>
    <row r="34" spans="1:12">
      <c r="A34" s="271"/>
      <c r="B34" s="271"/>
      <c r="C34" s="271"/>
      <c r="D34" s="271"/>
      <c r="E34" s="271" t="s">
        <v>183</v>
      </c>
      <c r="F34" s="271"/>
      <c r="G34" s="274">
        <f>ROUND(G32+G33,0)</f>
        <v>2386423</v>
      </c>
    </row>
    <row r="35" spans="1:12" s="273" customFormat="1">
      <c r="A35" s="271"/>
      <c r="B35" s="271"/>
      <c r="C35" s="271"/>
      <c r="D35" s="271"/>
      <c r="E35" s="271" t="s">
        <v>184</v>
      </c>
      <c r="F35" s="271"/>
      <c r="G35" s="274">
        <f>ROUND(G34*0.18,-3)</f>
        <v>430000</v>
      </c>
      <c r="H35"/>
      <c r="I35"/>
      <c r="J35"/>
      <c r="K35"/>
      <c r="L35"/>
    </row>
    <row r="36" spans="1:12" s="273" customFormat="1">
      <c r="E36" s="273" t="s">
        <v>185</v>
      </c>
      <c r="G36" s="275">
        <f>G34+G35</f>
        <v>2816423</v>
      </c>
      <c r="H36"/>
      <c r="I36"/>
      <c r="J36"/>
      <c r="K36"/>
      <c r="L36"/>
    </row>
    <row r="37" spans="1:12" s="273" customFormat="1">
      <c r="H37"/>
      <c r="I37"/>
      <c r="J37"/>
      <c r="K37"/>
      <c r="L37"/>
    </row>
    <row r="38" spans="1:12" s="273" customFormat="1" ht="15.75" thickBot="1">
      <c r="A38" s="3" t="s">
        <v>116</v>
      </c>
      <c r="B38"/>
      <c r="C38"/>
      <c r="D38"/>
      <c r="E38"/>
      <c r="F38"/>
      <c r="G38"/>
      <c r="H38"/>
      <c r="I38"/>
      <c r="J38"/>
      <c r="K38"/>
      <c r="L38"/>
    </row>
    <row r="39" spans="1:12">
      <c r="A39" s="384" t="s">
        <v>28</v>
      </c>
      <c r="B39" s="386" t="s">
        <v>27</v>
      </c>
      <c r="C39" s="386" t="s">
        <v>114</v>
      </c>
      <c r="D39" s="386"/>
      <c r="E39" s="386"/>
      <c r="F39" s="388" t="s">
        <v>115</v>
      </c>
    </row>
    <row r="40" spans="1:12">
      <c r="A40" s="385"/>
      <c r="B40" s="387"/>
      <c r="C40" s="387"/>
      <c r="D40" s="387"/>
      <c r="E40" s="387"/>
      <c r="F40" s="389"/>
    </row>
    <row r="41" spans="1:12">
      <c r="A41" s="293">
        <v>2017</v>
      </c>
      <c r="B41" s="201">
        <v>-5</v>
      </c>
      <c r="C41" s="390"/>
      <c r="D41" s="390"/>
      <c r="E41" s="390"/>
      <c r="F41" s="5"/>
    </row>
    <row r="42" spans="1:12">
      <c r="A42" s="293">
        <v>2018</v>
      </c>
      <c r="B42" s="201">
        <v>-4</v>
      </c>
      <c r="C42" s="390"/>
      <c r="D42" s="390"/>
      <c r="E42" s="390"/>
      <c r="F42" s="5"/>
    </row>
    <row r="43" spans="1:12">
      <c r="A43" s="293">
        <v>2019</v>
      </c>
      <c r="B43" s="201">
        <v>-3</v>
      </c>
      <c r="C43" s="390"/>
      <c r="D43" s="390"/>
      <c r="E43" s="390"/>
      <c r="F43" s="5"/>
    </row>
    <row r="44" spans="1:12">
      <c r="A44" s="293">
        <v>2020</v>
      </c>
      <c r="B44" s="201">
        <v>-2</v>
      </c>
      <c r="C44" s="390"/>
      <c r="D44" s="390"/>
      <c r="E44" s="390"/>
      <c r="F44" s="5"/>
    </row>
    <row r="45" spans="1:12">
      <c r="A45" s="293">
        <v>2021</v>
      </c>
      <c r="B45" s="201">
        <v>-1</v>
      </c>
      <c r="C45" s="390"/>
      <c r="D45" s="390"/>
      <c r="E45" s="390"/>
      <c r="F45" s="5"/>
    </row>
    <row r="46" spans="1:12">
      <c r="A46" s="293">
        <v>2022</v>
      </c>
      <c r="B46" s="201">
        <v>0</v>
      </c>
      <c r="C46" s="390"/>
      <c r="D46" s="390"/>
      <c r="E46" s="390"/>
      <c r="F46" s="5"/>
    </row>
    <row r="47" spans="1:12">
      <c r="A47" s="293">
        <v>2023</v>
      </c>
      <c r="B47" s="201">
        <v>1</v>
      </c>
      <c r="C47" s="390" t="s">
        <v>303</v>
      </c>
      <c r="D47" s="390"/>
      <c r="E47" s="390"/>
      <c r="F47" s="348">
        <f>G36</f>
        <v>2816423</v>
      </c>
    </row>
    <row r="48" spans="1:12">
      <c r="A48" s="293">
        <v>2024</v>
      </c>
      <c r="B48" s="201">
        <v>2</v>
      </c>
      <c r="C48" s="390"/>
      <c r="D48" s="390"/>
      <c r="E48" s="390"/>
      <c r="F48" s="5"/>
    </row>
    <row r="49" spans="1:6">
      <c r="A49" s="293">
        <v>2025</v>
      </c>
      <c r="B49" s="288">
        <v>3</v>
      </c>
      <c r="C49" s="390"/>
      <c r="D49" s="390"/>
      <c r="E49" s="390"/>
      <c r="F49" s="5"/>
    </row>
    <row r="50" spans="1:6">
      <c r="A50" s="293">
        <v>2026</v>
      </c>
      <c r="B50" s="288">
        <v>4</v>
      </c>
      <c r="C50" s="390"/>
      <c r="D50" s="390"/>
      <c r="E50" s="390"/>
      <c r="F50" s="5"/>
    </row>
    <row r="51" spans="1:6">
      <c r="A51" s="293">
        <v>2027</v>
      </c>
      <c r="B51" s="288">
        <v>5</v>
      </c>
      <c r="C51" s="390"/>
      <c r="D51" s="390"/>
      <c r="E51" s="390"/>
      <c r="F51" s="5"/>
    </row>
    <row r="52" spans="1:6">
      <c r="A52" s="293">
        <v>2028</v>
      </c>
      <c r="B52" s="288">
        <v>6</v>
      </c>
      <c r="C52" s="390"/>
      <c r="D52" s="390"/>
      <c r="E52" s="390"/>
      <c r="F52" s="5"/>
    </row>
    <row r="53" spans="1:6">
      <c r="A53" s="293">
        <v>2029</v>
      </c>
      <c r="B53" s="288">
        <v>7</v>
      </c>
      <c r="C53" s="390"/>
      <c r="D53" s="390"/>
      <c r="E53" s="390"/>
      <c r="F53" s="5"/>
    </row>
    <row r="54" spans="1:6">
      <c r="A54" s="293">
        <v>2030</v>
      </c>
      <c r="B54" s="288">
        <v>8</v>
      </c>
      <c r="C54" s="390"/>
      <c r="D54" s="390"/>
      <c r="E54" s="390"/>
      <c r="F54" s="5"/>
    </row>
    <row r="55" spans="1:6">
      <c r="A55" s="293">
        <v>2031</v>
      </c>
      <c r="B55" s="288">
        <v>9</v>
      </c>
      <c r="C55" s="390"/>
      <c r="D55" s="390"/>
      <c r="E55" s="390"/>
      <c r="F55" s="5"/>
    </row>
    <row r="56" spans="1:6">
      <c r="A56" s="293">
        <v>2032</v>
      </c>
      <c r="B56" s="288">
        <v>10</v>
      </c>
      <c r="C56" s="390"/>
      <c r="D56" s="390"/>
      <c r="E56" s="390"/>
      <c r="F56" s="5"/>
    </row>
    <row r="57" spans="1:6">
      <c r="A57" s="293">
        <v>2033</v>
      </c>
      <c r="B57" s="288">
        <v>11</v>
      </c>
      <c r="C57" s="390"/>
      <c r="D57" s="390"/>
      <c r="E57" s="390"/>
      <c r="F57" s="5"/>
    </row>
    <row r="58" spans="1:6">
      <c r="A58" s="293">
        <v>2034</v>
      </c>
      <c r="B58" s="288">
        <v>12</v>
      </c>
      <c r="C58" s="390"/>
      <c r="D58" s="390"/>
      <c r="E58" s="390"/>
      <c r="F58" s="5"/>
    </row>
    <row r="59" spans="1:6">
      <c r="A59" s="293">
        <v>2035</v>
      </c>
      <c r="B59" s="288">
        <v>13</v>
      </c>
      <c r="C59" s="390"/>
      <c r="D59" s="390"/>
      <c r="E59" s="390"/>
      <c r="F59" s="5"/>
    </row>
    <row r="60" spans="1:6">
      <c r="A60" s="293">
        <v>2036</v>
      </c>
      <c r="B60" s="288">
        <v>14</v>
      </c>
      <c r="C60" s="390"/>
      <c r="D60" s="390"/>
      <c r="E60" s="390"/>
      <c r="F60" s="5"/>
    </row>
    <row r="61" spans="1:6">
      <c r="A61" s="293">
        <v>2037</v>
      </c>
      <c r="B61" s="288">
        <v>15</v>
      </c>
      <c r="C61" s="390"/>
      <c r="D61" s="390"/>
      <c r="E61" s="390"/>
      <c r="F61" s="5"/>
    </row>
    <row r="62" spans="1:6">
      <c r="A62" s="293">
        <v>2038</v>
      </c>
      <c r="B62" s="288">
        <v>16</v>
      </c>
      <c r="C62" s="390"/>
      <c r="D62" s="390"/>
      <c r="E62" s="390"/>
      <c r="F62" s="5"/>
    </row>
    <row r="63" spans="1:6">
      <c r="A63" s="293">
        <v>2039</v>
      </c>
      <c r="B63" s="288">
        <v>17</v>
      </c>
      <c r="C63" s="390"/>
      <c r="D63" s="390"/>
      <c r="E63" s="390"/>
      <c r="F63" s="5"/>
    </row>
    <row r="64" spans="1:6">
      <c r="A64" s="293">
        <v>2040</v>
      </c>
      <c r="B64" s="288">
        <v>18</v>
      </c>
      <c r="C64" s="390"/>
      <c r="D64" s="390"/>
      <c r="E64" s="390"/>
      <c r="F64" s="5"/>
    </row>
    <row r="65" spans="1:6">
      <c r="A65" s="293">
        <v>2041</v>
      </c>
      <c r="B65" s="288">
        <v>19</v>
      </c>
      <c r="C65" s="390"/>
      <c r="D65" s="390"/>
      <c r="E65" s="390"/>
      <c r="F65" s="5"/>
    </row>
    <row r="66" spans="1:6">
      <c r="A66" s="293">
        <v>2042</v>
      </c>
      <c r="B66" s="288">
        <v>20</v>
      </c>
      <c r="C66" s="390"/>
      <c r="D66" s="390"/>
      <c r="E66" s="390"/>
      <c r="F66" s="5"/>
    </row>
    <row r="67" spans="1:6">
      <c r="A67" s="293">
        <v>2043</v>
      </c>
      <c r="B67" s="288">
        <v>21</v>
      </c>
      <c r="C67" s="390"/>
      <c r="D67" s="390"/>
      <c r="E67" s="390"/>
      <c r="F67" s="5"/>
    </row>
    <row r="68" spans="1:6">
      <c r="A68" s="293">
        <v>2044</v>
      </c>
      <c r="B68" s="288">
        <v>22</v>
      </c>
      <c r="C68" s="390"/>
      <c r="D68" s="390"/>
      <c r="E68" s="390"/>
      <c r="F68" s="5"/>
    </row>
    <row r="69" spans="1:6">
      <c r="A69" s="293">
        <v>2045</v>
      </c>
      <c r="B69" s="288">
        <v>23</v>
      </c>
      <c r="C69" s="390"/>
      <c r="D69" s="390"/>
      <c r="E69" s="390"/>
      <c r="F69" s="5"/>
    </row>
    <row r="70" spans="1:6">
      <c r="A70" s="293">
        <v>2046</v>
      </c>
      <c r="B70" s="288">
        <v>24</v>
      </c>
      <c r="C70" s="390"/>
      <c r="D70" s="390"/>
      <c r="E70" s="390"/>
      <c r="F70" s="5"/>
    </row>
    <row r="71" spans="1:6" ht="15.75" thickBot="1">
      <c r="A71" s="23">
        <v>2047</v>
      </c>
      <c r="B71" s="80">
        <v>25</v>
      </c>
      <c r="C71" s="391"/>
      <c r="D71" s="391"/>
      <c r="E71" s="391"/>
      <c r="F71" s="15"/>
    </row>
    <row r="74" spans="1:6">
      <c r="A74" s="166" t="s">
        <v>121</v>
      </c>
      <c r="B74" s="167">
        <f>'Design.Construction.Salvage'!M21</f>
        <v>0.05</v>
      </c>
    </row>
  </sheetData>
  <mergeCells count="35">
    <mergeCell ref="C51:E51"/>
    <mergeCell ref="C54:E54"/>
    <mergeCell ref="C53:E53"/>
    <mergeCell ref="C69:E69"/>
    <mergeCell ref="C70:E70"/>
    <mergeCell ref="C71:E71"/>
    <mergeCell ref="C52:E52"/>
    <mergeCell ref="C62:E62"/>
    <mergeCell ref="C68:E68"/>
    <mergeCell ref="C63:E63"/>
    <mergeCell ref="C64:E64"/>
    <mergeCell ref="C65:E65"/>
    <mergeCell ref="C66:E66"/>
    <mergeCell ref="C67:E67"/>
    <mergeCell ref="C42:E42"/>
    <mergeCell ref="C43:E43"/>
    <mergeCell ref="C61:E61"/>
    <mergeCell ref="C56:E56"/>
    <mergeCell ref="C57:E57"/>
    <mergeCell ref="C58:E58"/>
    <mergeCell ref="C59:E59"/>
    <mergeCell ref="C60:E60"/>
    <mergeCell ref="C45:E45"/>
    <mergeCell ref="C46:E46"/>
    <mergeCell ref="C47:E47"/>
    <mergeCell ref="C48:E48"/>
    <mergeCell ref="C49:E49"/>
    <mergeCell ref="C55:E55"/>
    <mergeCell ref="C44:E44"/>
    <mergeCell ref="C50:E50"/>
    <mergeCell ref="A39:A40"/>
    <mergeCell ref="B39:B40"/>
    <mergeCell ref="F39:F40"/>
    <mergeCell ref="C39:E40"/>
    <mergeCell ref="C41:E4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  <pageSetUpPr fitToPage="1"/>
  </sheetPr>
  <dimension ref="A1:BG35"/>
  <sheetViews>
    <sheetView zoomScale="85" zoomScaleNormal="85" workbookViewId="0">
      <pane xSplit="1" topLeftCell="AT1" activePane="topRight" state="frozen"/>
      <selection pane="topRight" activeCell="I19" sqref="I19"/>
    </sheetView>
  </sheetViews>
  <sheetFormatPr defaultRowHeight="15"/>
  <cols>
    <col min="1" max="1" width="13.85546875" customWidth="1"/>
    <col min="2" max="2" width="19.28515625" customWidth="1"/>
    <col min="3" max="10" width="18.5703125" customWidth="1"/>
    <col min="11" max="11" width="7.42578125" customWidth="1"/>
    <col min="12" max="22" width="18.5703125" customWidth="1"/>
    <col min="27" max="35" width="18.5703125" customWidth="1"/>
    <col min="38" max="39" width="15.7109375" customWidth="1"/>
    <col min="40" max="47" width="18.5703125" customWidth="1"/>
    <col min="49" max="49" width="15.7109375" customWidth="1"/>
    <col min="50" max="50" width="19.28515625" customWidth="1"/>
    <col min="51" max="57" width="18.5703125" customWidth="1"/>
    <col min="58" max="58" width="21.42578125" customWidth="1"/>
    <col min="59" max="59" width="18.5703125" customWidth="1"/>
  </cols>
  <sheetData>
    <row r="1" spans="1:59" ht="30.75" customHeight="1" thickBot="1">
      <c r="N1" s="20"/>
      <c r="AL1" s="411" t="s">
        <v>28</v>
      </c>
      <c r="AM1" s="392" t="s">
        <v>27</v>
      </c>
      <c r="AN1" s="411" t="s">
        <v>194</v>
      </c>
      <c r="AO1" s="394"/>
      <c r="AP1" s="394"/>
      <c r="AQ1" s="394"/>
      <c r="AR1" s="394"/>
      <c r="AS1" s="394"/>
      <c r="AT1" s="394"/>
      <c r="AU1" s="412"/>
    </row>
    <row r="2" spans="1:59" ht="15" customHeight="1">
      <c r="A2" s="402" t="s">
        <v>28</v>
      </c>
      <c r="B2" s="417" t="s">
        <v>27</v>
      </c>
      <c r="C2" s="424" t="s">
        <v>181</v>
      </c>
      <c r="D2" s="425"/>
      <c r="E2" s="425"/>
      <c r="F2" s="425"/>
      <c r="G2" s="425"/>
      <c r="H2" s="425"/>
      <c r="I2" s="425"/>
      <c r="J2" s="426"/>
      <c r="L2" s="384" t="s">
        <v>53</v>
      </c>
      <c r="M2" s="392" t="s">
        <v>27</v>
      </c>
      <c r="N2" s="405" t="s">
        <v>120</v>
      </c>
      <c r="O2" s="406"/>
      <c r="P2" s="406"/>
      <c r="Q2" s="406"/>
      <c r="R2" s="406"/>
      <c r="S2" s="406"/>
      <c r="T2" s="406"/>
      <c r="U2" s="406"/>
      <c r="V2" s="407"/>
      <c r="X2" s="384" t="s">
        <v>53</v>
      </c>
      <c r="Y2" s="394" t="s">
        <v>27</v>
      </c>
      <c r="Z2" s="392" t="s">
        <v>97</v>
      </c>
      <c r="AA2" s="405" t="s">
        <v>99</v>
      </c>
      <c r="AB2" s="406"/>
      <c r="AC2" s="406"/>
      <c r="AD2" s="406"/>
      <c r="AE2" s="406"/>
      <c r="AF2" s="406"/>
      <c r="AG2" s="406"/>
      <c r="AH2" s="406"/>
      <c r="AI2" s="407"/>
      <c r="AL2" s="396"/>
      <c r="AM2" s="393"/>
      <c r="AN2" s="396" t="s">
        <v>37</v>
      </c>
      <c r="AO2" s="395" t="s">
        <v>39</v>
      </c>
      <c r="AP2" s="395" t="s">
        <v>38</v>
      </c>
      <c r="AQ2" s="395"/>
      <c r="AR2" s="395"/>
      <c r="AS2" s="395"/>
      <c r="AT2" s="395"/>
      <c r="AU2" s="408"/>
      <c r="AW2" s="402" t="s">
        <v>28</v>
      </c>
      <c r="AX2" s="399" t="s">
        <v>27</v>
      </c>
      <c r="AY2" s="405" t="s">
        <v>193</v>
      </c>
      <c r="AZ2" s="406"/>
      <c r="BA2" s="406"/>
      <c r="BB2" s="406"/>
      <c r="BC2" s="406"/>
      <c r="BD2" s="406"/>
      <c r="BE2" s="406"/>
      <c r="BF2" s="407"/>
      <c r="BG2" s="397" t="s">
        <v>192</v>
      </c>
    </row>
    <row r="3" spans="1:59" ht="15" customHeight="1">
      <c r="A3" s="403"/>
      <c r="B3" s="418"/>
      <c r="C3" s="419" t="s">
        <v>37</v>
      </c>
      <c r="D3" s="421" t="s">
        <v>39</v>
      </c>
      <c r="E3" s="393" t="s">
        <v>38</v>
      </c>
      <c r="F3" s="423"/>
      <c r="G3" s="423"/>
      <c r="H3" s="423"/>
      <c r="I3" s="423"/>
      <c r="J3" s="398"/>
      <c r="L3" s="385"/>
      <c r="M3" s="393"/>
      <c r="N3" s="396" t="s">
        <v>37</v>
      </c>
      <c r="O3" s="395" t="s">
        <v>39</v>
      </c>
      <c r="P3" s="395" t="s">
        <v>38</v>
      </c>
      <c r="Q3" s="395"/>
      <c r="R3" s="395"/>
      <c r="S3" s="395"/>
      <c r="T3" s="395"/>
      <c r="U3" s="395"/>
      <c r="V3" s="416" t="s">
        <v>15</v>
      </c>
      <c r="X3" s="385"/>
      <c r="Y3" s="395"/>
      <c r="Z3" s="393"/>
      <c r="AA3" s="396" t="s">
        <v>37</v>
      </c>
      <c r="AB3" s="395" t="s">
        <v>39</v>
      </c>
      <c r="AC3" s="395" t="s">
        <v>38</v>
      </c>
      <c r="AD3" s="395"/>
      <c r="AE3" s="395"/>
      <c r="AF3" s="395"/>
      <c r="AG3" s="395"/>
      <c r="AH3" s="395"/>
      <c r="AI3" s="408" t="s">
        <v>15</v>
      </c>
      <c r="AL3" s="396"/>
      <c r="AM3" s="393"/>
      <c r="AN3" s="396"/>
      <c r="AO3" s="395"/>
      <c r="AP3" s="206" t="s">
        <v>40</v>
      </c>
      <c r="AQ3" s="206" t="s">
        <v>41</v>
      </c>
      <c r="AR3" s="206" t="s">
        <v>42</v>
      </c>
      <c r="AS3" s="206" t="s">
        <v>43</v>
      </c>
      <c r="AT3" s="206" t="s">
        <v>98</v>
      </c>
      <c r="AU3" s="212" t="s">
        <v>44</v>
      </c>
      <c r="AW3" s="403"/>
      <c r="AX3" s="400"/>
      <c r="AY3" s="396" t="s">
        <v>37</v>
      </c>
      <c r="AZ3" s="395" t="s">
        <v>39</v>
      </c>
      <c r="BA3" s="395" t="s">
        <v>38</v>
      </c>
      <c r="BB3" s="395"/>
      <c r="BC3" s="395"/>
      <c r="BD3" s="395"/>
      <c r="BE3" s="395"/>
      <c r="BF3" s="408"/>
      <c r="BG3" s="398"/>
    </row>
    <row r="4" spans="1:59" ht="30.75" thickBot="1">
      <c r="A4" s="403"/>
      <c r="B4" s="418"/>
      <c r="C4" s="420"/>
      <c r="D4" s="422"/>
      <c r="E4" s="222" t="s">
        <v>40</v>
      </c>
      <c r="F4" s="297" t="s">
        <v>41</v>
      </c>
      <c r="G4" s="297" t="s">
        <v>42</v>
      </c>
      <c r="H4" s="297" t="s">
        <v>43</v>
      </c>
      <c r="I4" s="297" t="s">
        <v>98</v>
      </c>
      <c r="J4" s="303" t="s">
        <v>44</v>
      </c>
      <c r="L4" s="385"/>
      <c r="M4" s="393"/>
      <c r="N4" s="396"/>
      <c r="O4" s="395"/>
      <c r="P4" s="206" t="s">
        <v>40</v>
      </c>
      <c r="Q4" s="206" t="s">
        <v>41</v>
      </c>
      <c r="R4" s="206" t="s">
        <v>42</v>
      </c>
      <c r="S4" s="206" t="s">
        <v>43</v>
      </c>
      <c r="T4" s="206" t="s">
        <v>98</v>
      </c>
      <c r="U4" s="206" t="s">
        <v>44</v>
      </c>
      <c r="V4" s="416"/>
      <c r="X4" s="385"/>
      <c r="Y4" s="395"/>
      <c r="Z4" s="393"/>
      <c r="AA4" s="396"/>
      <c r="AB4" s="395"/>
      <c r="AC4" s="206" t="s">
        <v>40</v>
      </c>
      <c r="AD4" s="206" t="s">
        <v>41</v>
      </c>
      <c r="AE4" s="206" t="s">
        <v>42</v>
      </c>
      <c r="AF4" s="206" t="s">
        <v>43</v>
      </c>
      <c r="AG4" s="206" t="s">
        <v>98</v>
      </c>
      <c r="AH4" s="206" t="s">
        <v>44</v>
      </c>
      <c r="AI4" s="408"/>
      <c r="AL4" s="409" t="s">
        <v>46</v>
      </c>
      <c r="AM4" s="410"/>
      <c r="AN4" s="132" t="s">
        <v>19</v>
      </c>
      <c r="AO4" s="133">
        <v>100</v>
      </c>
      <c r="AP4" s="133">
        <v>50</v>
      </c>
      <c r="AQ4" s="133">
        <v>40</v>
      </c>
      <c r="AR4" s="133">
        <v>25</v>
      </c>
      <c r="AS4" s="133">
        <v>60</v>
      </c>
      <c r="AT4" s="133">
        <v>20</v>
      </c>
      <c r="AU4" s="134" t="s">
        <v>19</v>
      </c>
      <c r="AW4" s="404"/>
      <c r="AX4" s="401"/>
      <c r="AY4" s="396"/>
      <c r="AZ4" s="395"/>
      <c r="BA4" s="206" t="s">
        <v>40</v>
      </c>
      <c r="BB4" s="206" t="s">
        <v>41</v>
      </c>
      <c r="BC4" s="206" t="s">
        <v>42</v>
      </c>
      <c r="BD4" s="206" t="s">
        <v>43</v>
      </c>
      <c r="BE4" s="206" t="s">
        <v>98</v>
      </c>
      <c r="BF4" s="212" t="s">
        <v>44</v>
      </c>
      <c r="BG4" s="398"/>
    </row>
    <row r="5" spans="1:59">
      <c r="A5" s="250">
        <v>2019</v>
      </c>
      <c r="B5" s="249">
        <v>-3</v>
      </c>
      <c r="C5" s="76">
        <v>48500</v>
      </c>
      <c r="D5" s="312"/>
      <c r="E5" s="316"/>
      <c r="F5" s="312"/>
      <c r="G5" s="312"/>
      <c r="H5" s="312"/>
      <c r="I5" s="312"/>
      <c r="J5" s="317"/>
      <c r="L5" s="251">
        <f>A5</f>
        <v>2019</v>
      </c>
      <c r="M5" s="156">
        <f>B5</f>
        <v>-3</v>
      </c>
      <c r="N5" s="76">
        <f>C5</f>
        <v>48500</v>
      </c>
      <c r="O5" s="77">
        <f>D5</f>
        <v>0</v>
      </c>
      <c r="P5" s="77">
        <f t="shared" ref="P5:P7" si="0">E5</f>
        <v>0</v>
      </c>
      <c r="Q5" s="77">
        <f>F5</f>
        <v>0</v>
      </c>
      <c r="R5" s="77">
        <f t="shared" ref="R5:U8" si="1">G5</f>
        <v>0</v>
      </c>
      <c r="S5" s="77">
        <f t="shared" si="1"/>
        <v>0</v>
      </c>
      <c r="T5" s="77">
        <f t="shared" si="1"/>
        <v>0</v>
      </c>
      <c r="U5" s="77">
        <f t="shared" si="1"/>
        <v>0</v>
      </c>
      <c r="V5" s="120">
        <f>SUM(N5:U5)</f>
        <v>48500</v>
      </c>
      <c r="X5" s="203">
        <v>2017</v>
      </c>
      <c r="Y5" s="160">
        <v>-3</v>
      </c>
      <c r="Z5" s="160">
        <v>-3</v>
      </c>
      <c r="AA5" s="76">
        <f t="shared" ref="AA5:AA14" si="2">N5*(1+$Z$20)^-$Z5</f>
        <v>59414.585500000008</v>
      </c>
      <c r="AB5" s="77">
        <f t="shared" ref="AB5:AB14" si="3">O5*(1+$Z$20)^-$Z5</f>
        <v>0</v>
      </c>
      <c r="AC5" s="77">
        <f t="shared" ref="AC5:AC14" si="4">P5*(1+$Z$20)^-$Z5</f>
        <v>0</v>
      </c>
      <c r="AD5" s="77">
        <f t="shared" ref="AD5:AD14" si="5">Q5*(1+$Z$20)^-$Z5</f>
        <v>0</v>
      </c>
      <c r="AE5" s="77">
        <f t="shared" ref="AE5:AE14" si="6">R5*(1+$Z$20)^-$Z5</f>
        <v>0</v>
      </c>
      <c r="AF5" s="77">
        <f t="shared" ref="AF5:AF14" si="7">S5*(1+$Z$20)^-$Z5</f>
        <v>0</v>
      </c>
      <c r="AG5" s="77">
        <f t="shared" ref="AG5:AG14" si="8">T5*(1+$Z$20)^-$Z5</f>
        <v>0</v>
      </c>
      <c r="AH5" s="77">
        <f t="shared" ref="AH5:AH14" si="9">U5*(1+$Z$20)^-$Z5</f>
        <v>0</v>
      </c>
      <c r="AI5" s="81">
        <f>SUM(AA5:AH5)</f>
        <v>59414.585500000008</v>
      </c>
      <c r="AL5" s="203">
        <v>2017</v>
      </c>
      <c r="AM5" s="160">
        <v>-3</v>
      </c>
      <c r="AN5" s="115">
        <f>'RCV Factors'!D6</f>
        <v>0</v>
      </c>
      <c r="AO5" s="215">
        <f>'RCV Factors'!E6</f>
        <v>0.75</v>
      </c>
      <c r="AP5" s="215">
        <f>'RCV Factors'!F6</f>
        <v>0.5</v>
      </c>
      <c r="AQ5" s="215">
        <f>'RCV Factors'!G6</f>
        <v>0.375</v>
      </c>
      <c r="AR5" s="215">
        <f>'RCV Factors'!H6</f>
        <v>0</v>
      </c>
      <c r="AS5" s="215">
        <f>'RCV Factors'!I6</f>
        <v>0.58333333333333337</v>
      </c>
      <c r="AT5" s="215">
        <f>'RCV Factors'!J6</f>
        <v>0</v>
      </c>
      <c r="AU5" s="216">
        <f>'RCV Factors'!K6</f>
        <v>0</v>
      </c>
      <c r="AW5" s="203">
        <v>2017</v>
      </c>
      <c r="AX5" s="160">
        <v>-3</v>
      </c>
      <c r="AY5" s="76">
        <f t="shared" ref="AY5:AY14" si="10">ROUND(N5*AN5, $A$20)</f>
        <v>0</v>
      </c>
      <c r="AZ5" s="77">
        <f t="shared" ref="AZ5:AZ14" si="11">ROUND(O5*AO5, $A$20)</f>
        <v>0</v>
      </c>
      <c r="BA5" s="77">
        <f t="shared" ref="BA5:BA14" si="12">ROUND(P5*AP5, $A$20)</f>
        <v>0</v>
      </c>
      <c r="BB5" s="77">
        <f t="shared" ref="BB5:BB14" si="13">ROUND(Q5*AQ5, $A$20)</f>
        <v>0</v>
      </c>
      <c r="BC5" s="77">
        <f t="shared" ref="BC5:BC14" si="14">ROUND(R5*AR5, $A$20)</f>
        <v>0</v>
      </c>
      <c r="BD5" s="77">
        <f t="shared" ref="BD5:BD14" si="15">ROUND(S5*AS5, $A$20)</f>
        <v>0</v>
      </c>
      <c r="BE5" s="77">
        <f t="shared" ref="BE5:BE14" si="16">ROUND(T5*AT5, $A$20)</f>
        <v>0</v>
      </c>
      <c r="BF5" s="123">
        <f t="shared" ref="BF5:BF14" si="17">ROUND(U5*AU5, $A$20)</f>
        <v>0</v>
      </c>
      <c r="BG5" s="126">
        <f>SUM(AY5:BF5)</f>
        <v>0</v>
      </c>
    </row>
    <row r="6" spans="1:59">
      <c r="A6" s="293">
        <v>2020</v>
      </c>
      <c r="B6" s="156">
        <v>-2</v>
      </c>
      <c r="C6" s="76">
        <v>136000</v>
      </c>
      <c r="D6" s="77"/>
      <c r="E6" s="318"/>
      <c r="F6" s="77"/>
      <c r="G6" s="77"/>
      <c r="H6" s="77"/>
      <c r="I6" s="77"/>
      <c r="J6" s="319"/>
      <c r="L6" s="251">
        <f t="shared" ref="L6:L14" si="18">A6</f>
        <v>2020</v>
      </c>
      <c r="M6" s="156">
        <f t="shared" ref="M6:M14" si="19">B6</f>
        <v>-2</v>
      </c>
      <c r="N6" s="76">
        <f t="shared" ref="N6:N8" si="20">C6</f>
        <v>136000</v>
      </c>
      <c r="O6" s="77">
        <f t="shared" ref="O6:O8" si="21">D6</f>
        <v>0</v>
      </c>
      <c r="P6" s="77">
        <f t="shared" si="0"/>
        <v>0</v>
      </c>
      <c r="Q6" s="77">
        <f t="shared" ref="Q6:Q8" si="22">F6</f>
        <v>0</v>
      </c>
      <c r="R6" s="77">
        <f t="shared" si="1"/>
        <v>0</v>
      </c>
      <c r="S6" s="77">
        <f t="shared" si="1"/>
        <v>0</v>
      </c>
      <c r="T6" s="77">
        <f t="shared" si="1"/>
        <v>0</v>
      </c>
      <c r="U6" s="77">
        <f t="shared" si="1"/>
        <v>0</v>
      </c>
      <c r="V6" s="120">
        <f t="shared" ref="V6:V12" si="23">SUM(N6:U6)</f>
        <v>136000</v>
      </c>
      <c r="X6" s="203">
        <v>2018</v>
      </c>
      <c r="Y6" s="160">
        <v>-2</v>
      </c>
      <c r="Z6" s="160">
        <v>-2</v>
      </c>
      <c r="AA6" s="76">
        <f t="shared" si="2"/>
        <v>155706.4</v>
      </c>
      <c r="AB6" s="77">
        <f t="shared" si="3"/>
        <v>0</v>
      </c>
      <c r="AC6" s="77">
        <f t="shared" si="4"/>
        <v>0</v>
      </c>
      <c r="AD6" s="77">
        <f t="shared" si="5"/>
        <v>0</v>
      </c>
      <c r="AE6" s="77">
        <f t="shared" si="6"/>
        <v>0</v>
      </c>
      <c r="AF6" s="77">
        <f t="shared" si="7"/>
        <v>0</v>
      </c>
      <c r="AG6" s="77">
        <f t="shared" si="8"/>
        <v>0</v>
      </c>
      <c r="AH6" s="77">
        <f t="shared" si="9"/>
        <v>0</v>
      </c>
      <c r="AI6" s="81">
        <f t="shared" ref="AI6:AI12" si="24">SUM(AA6:AH6)</f>
        <v>155706.4</v>
      </c>
      <c r="AL6" s="203">
        <v>2018</v>
      </c>
      <c r="AM6" s="160">
        <v>-2</v>
      </c>
      <c r="AN6" s="115">
        <f>'RCV Factors'!D7</f>
        <v>0</v>
      </c>
      <c r="AO6" s="215">
        <f>'RCV Factors'!E7</f>
        <v>0.76</v>
      </c>
      <c r="AP6" s="215">
        <f>'RCV Factors'!F7</f>
        <v>0.52</v>
      </c>
      <c r="AQ6" s="215">
        <f>'RCV Factors'!G7</f>
        <v>0.4</v>
      </c>
      <c r="AR6" s="215">
        <f>'RCV Factors'!H7</f>
        <v>0.04</v>
      </c>
      <c r="AS6" s="215">
        <f>'RCV Factors'!I7</f>
        <v>0.6</v>
      </c>
      <c r="AT6" s="215">
        <f>'RCV Factors'!J7</f>
        <v>0</v>
      </c>
      <c r="AU6" s="216">
        <f>'RCV Factors'!K7</f>
        <v>0</v>
      </c>
      <c r="AW6" s="203">
        <v>2018</v>
      </c>
      <c r="AX6" s="160">
        <v>-2</v>
      </c>
      <c r="AY6" s="76">
        <f t="shared" si="10"/>
        <v>0</v>
      </c>
      <c r="AZ6" s="77">
        <f t="shared" si="11"/>
        <v>0</v>
      </c>
      <c r="BA6" s="77">
        <f t="shared" si="12"/>
        <v>0</v>
      </c>
      <c r="BB6" s="77">
        <f t="shared" si="13"/>
        <v>0</v>
      </c>
      <c r="BC6" s="77">
        <f t="shared" si="14"/>
        <v>0</v>
      </c>
      <c r="BD6" s="77">
        <f t="shared" si="15"/>
        <v>0</v>
      </c>
      <c r="BE6" s="77">
        <f t="shared" si="16"/>
        <v>0</v>
      </c>
      <c r="BF6" s="123">
        <f t="shared" si="17"/>
        <v>0</v>
      </c>
      <c r="BG6" s="126">
        <f t="shared" ref="BG6:BG12" si="25">SUM(AY6:BF6)</f>
        <v>0</v>
      </c>
    </row>
    <row r="7" spans="1:59">
      <c r="A7" s="13">
        <v>2021</v>
      </c>
      <c r="B7" s="156">
        <v>-1</v>
      </c>
      <c r="C7" s="76">
        <v>546000</v>
      </c>
      <c r="D7" s="77">
        <v>45000</v>
      </c>
      <c r="E7" s="77"/>
      <c r="F7" s="77"/>
      <c r="G7" s="77"/>
      <c r="H7" s="77"/>
      <c r="I7" s="77"/>
      <c r="J7" s="319"/>
      <c r="L7" s="251">
        <f t="shared" si="18"/>
        <v>2021</v>
      </c>
      <c r="M7" s="156">
        <f t="shared" si="19"/>
        <v>-1</v>
      </c>
      <c r="N7" s="76">
        <f t="shared" si="20"/>
        <v>546000</v>
      </c>
      <c r="O7" s="77">
        <f t="shared" si="21"/>
        <v>45000</v>
      </c>
      <c r="P7" s="77">
        <f t="shared" si="0"/>
        <v>0</v>
      </c>
      <c r="Q7" s="77">
        <f t="shared" si="22"/>
        <v>0</v>
      </c>
      <c r="R7" s="77">
        <f t="shared" si="1"/>
        <v>0</v>
      </c>
      <c r="S7" s="77">
        <f t="shared" si="1"/>
        <v>0</v>
      </c>
      <c r="T7" s="77">
        <f t="shared" si="1"/>
        <v>0</v>
      </c>
      <c r="U7" s="77">
        <f t="shared" si="1"/>
        <v>0</v>
      </c>
      <c r="V7" s="120">
        <f t="shared" si="23"/>
        <v>591000</v>
      </c>
      <c r="W7" s="20"/>
      <c r="X7" s="203">
        <v>2019</v>
      </c>
      <c r="Y7" s="160">
        <v>-1</v>
      </c>
      <c r="Z7" s="160">
        <v>-1</v>
      </c>
      <c r="AA7" s="76">
        <f t="shared" si="2"/>
        <v>584220</v>
      </c>
      <c r="AB7" s="77">
        <f t="shared" si="3"/>
        <v>48150</v>
      </c>
      <c r="AC7" s="77">
        <f t="shared" si="4"/>
        <v>0</v>
      </c>
      <c r="AD7" s="77">
        <f t="shared" si="5"/>
        <v>0</v>
      </c>
      <c r="AE7" s="77">
        <f t="shared" si="6"/>
        <v>0</v>
      </c>
      <c r="AF7" s="77">
        <f t="shared" si="7"/>
        <v>0</v>
      </c>
      <c r="AG7" s="77">
        <f t="shared" si="8"/>
        <v>0</v>
      </c>
      <c r="AH7" s="77">
        <f t="shared" si="9"/>
        <v>0</v>
      </c>
      <c r="AI7" s="81">
        <f t="shared" si="24"/>
        <v>632370</v>
      </c>
      <c r="AL7" s="203">
        <v>2019</v>
      </c>
      <c r="AM7" s="160">
        <v>-1</v>
      </c>
      <c r="AN7" s="115">
        <f>'RCV Factors'!D8</f>
        <v>0</v>
      </c>
      <c r="AO7" s="215">
        <f>'RCV Factors'!E8</f>
        <v>0.77</v>
      </c>
      <c r="AP7" s="215">
        <f>'RCV Factors'!F8</f>
        <v>0.54</v>
      </c>
      <c r="AQ7" s="215">
        <f>'RCV Factors'!G8</f>
        <v>0.42499999999999999</v>
      </c>
      <c r="AR7" s="215">
        <f>'RCV Factors'!H8</f>
        <v>0.08</v>
      </c>
      <c r="AS7" s="215">
        <f>'RCV Factors'!I8</f>
        <v>0.6166666666666667</v>
      </c>
      <c r="AT7" s="215">
        <f>'RCV Factors'!J8</f>
        <v>0</v>
      </c>
      <c r="AU7" s="216">
        <f>'RCV Factors'!K8</f>
        <v>0</v>
      </c>
      <c r="AW7" s="203">
        <v>2019</v>
      </c>
      <c r="AX7" s="160">
        <v>-1</v>
      </c>
      <c r="AY7" s="76">
        <f t="shared" si="10"/>
        <v>0</v>
      </c>
      <c r="AZ7" s="77">
        <f t="shared" si="11"/>
        <v>34700</v>
      </c>
      <c r="BA7" s="77">
        <f t="shared" si="12"/>
        <v>0</v>
      </c>
      <c r="BB7" s="77">
        <f t="shared" si="13"/>
        <v>0</v>
      </c>
      <c r="BC7" s="77">
        <f t="shared" si="14"/>
        <v>0</v>
      </c>
      <c r="BD7" s="77">
        <f t="shared" si="15"/>
        <v>0</v>
      </c>
      <c r="BE7" s="77">
        <f t="shared" si="16"/>
        <v>0</v>
      </c>
      <c r="BF7" s="123">
        <f t="shared" si="17"/>
        <v>0</v>
      </c>
      <c r="BG7" s="126">
        <f t="shared" si="25"/>
        <v>34700</v>
      </c>
    </row>
    <row r="8" spans="1:59">
      <c r="A8" s="251">
        <v>2022</v>
      </c>
      <c r="B8" s="156">
        <v>0</v>
      </c>
      <c r="C8" s="76">
        <v>425000</v>
      </c>
      <c r="D8" s="77"/>
      <c r="E8" s="65">
        <v>83500</v>
      </c>
      <c r="F8" s="1">
        <v>57450</v>
      </c>
      <c r="G8" s="1">
        <v>2341790</v>
      </c>
      <c r="H8" s="1">
        <v>504000</v>
      </c>
      <c r="I8" s="1">
        <v>906200</v>
      </c>
      <c r="J8" s="5">
        <v>540460</v>
      </c>
      <c r="L8" s="251">
        <f t="shared" si="18"/>
        <v>2022</v>
      </c>
      <c r="M8" s="156">
        <f t="shared" si="19"/>
        <v>0</v>
      </c>
      <c r="N8" s="76">
        <f t="shared" si="20"/>
        <v>425000</v>
      </c>
      <c r="O8" s="77">
        <f t="shared" si="21"/>
        <v>0</v>
      </c>
      <c r="P8" s="77">
        <f>E8</f>
        <v>83500</v>
      </c>
      <c r="Q8" s="77">
        <f t="shared" si="22"/>
        <v>57450</v>
      </c>
      <c r="R8" s="77">
        <f t="shared" si="1"/>
        <v>2341790</v>
      </c>
      <c r="S8" s="77">
        <f t="shared" si="1"/>
        <v>504000</v>
      </c>
      <c r="T8" s="77">
        <f t="shared" si="1"/>
        <v>906200</v>
      </c>
      <c r="U8" s="77">
        <f t="shared" si="1"/>
        <v>540460</v>
      </c>
      <c r="V8" s="120">
        <f t="shared" si="23"/>
        <v>4858400</v>
      </c>
      <c r="X8" s="203">
        <v>2020</v>
      </c>
      <c r="Y8" s="160">
        <v>0</v>
      </c>
      <c r="Z8" s="160">
        <v>0</v>
      </c>
      <c r="AA8" s="76">
        <f t="shared" si="2"/>
        <v>425000</v>
      </c>
      <c r="AB8" s="77">
        <f t="shared" si="3"/>
        <v>0</v>
      </c>
      <c r="AC8" s="77">
        <f t="shared" si="4"/>
        <v>83500</v>
      </c>
      <c r="AD8" s="77">
        <f t="shared" si="5"/>
        <v>57450</v>
      </c>
      <c r="AE8" s="77">
        <f t="shared" si="6"/>
        <v>2341790</v>
      </c>
      <c r="AF8" s="77">
        <f t="shared" si="7"/>
        <v>504000</v>
      </c>
      <c r="AG8" s="77">
        <f t="shared" si="8"/>
        <v>906200</v>
      </c>
      <c r="AH8" s="77">
        <f t="shared" si="9"/>
        <v>540460</v>
      </c>
      <c r="AI8" s="81">
        <f t="shared" si="24"/>
        <v>4858400</v>
      </c>
      <c r="AL8" s="203">
        <v>2020</v>
      </c>
      <c r="AM8" s="160">
        <v>0</v>
      </c>
      <c r="AN8" s="115">
        <f>'RCV Factors'!D9</f>
        <v>0</v>
      </c>
      <c r="AO8" s="215">
        <f>'RCV Factors'!E9</f>
        <v>0.78</v>
      </c>
      <c r="AP8" s="215">
        <f>'RCV Factors'!F9</f>
        <v>0.56000000000000005</v>
      </c>
      <c r="AQ8" s="215">
        <f>'RCV Factors'!G9</f>
        <v>0.45</v>
      </c>
      <c r="AR8" s="215">
        <f>'RCV Factors'!H9</f>
        <v>0.12</v>
      </c>
      <c r="AS8" s="215">
        <f>'RCV Factors'!I9</f>
        <v>0.6333333333333333</v>
      </c>
      <c r="AT8" s="215">
        <f>'RCV Factors'!J9</f>
        <v>0</v>
      </c>
      <c r="AU8" s="216">
        <f>'RCV Factors'!K9</f>
        <v>0</v>
      </c>
      <c r="AW8" s="203">
        <v>2020</v>
      </c>
      <c r="AX8" s="160">
        <v>0</v>
      </c>
      <c r="AY8" s="76">
        <f t="shared" si="10"/>
        <v>0</v>
      </c>
      <c r="AZ8" s="77">
        <f t="shared" si="11"/>
        <v>0</v>
      </c>
      <c r="BA8" s="77">
        <f t="shared" si="12"/>
        <v>46800</v>
      </c>
      <c r="BB8" s="77">
        <f t="shared" si="13"/>
        <v>25900</v>
      </c>
      <c r="BC8" s="77">
        <f t="shared" si="14"/>
        <v>281000</v>
      </c>
      <c r="BD8" s="77">
        <f t="shared" si="15"/>
        <v>319200</v>
      </c>
      <c r="BE8" s="77">
        <f t="shared" si="16"/>
        <v>0</v>
      </c>
      <c r="BF8" s="123">
        <f t="shared" si="17"/>
        <v>0</v>
      </c>
      <c r="BG8" s="126">
        <f t="shared" si="25"/>
        <v>672900</v>
      </c>
    </row>
    <row r="9" spans="1:59">
      <c r="A9" s="13">
        <v>2023</v>
      </c>
      <c r="B9" s="156">
        <v>1</v>
      </c>
      <c r="C9" s="314">
        <v>229000</v>
      </c>
      <c r="D9" s="65"/>
      <c r="E9" s="65">
        <v>44967</v>
      </c>
      <c r="F9" s="1">
        <v>30937</v>
      </c>
      <c r="G9" s="1">
        <v>1260969</v>
      </c>
      <c r="H9" s="1">
        <v>271380</v>
      </c>
      <c r="I9" s="1">
        <v>487960</v>
      </c>
      <c r="J9" s="5">
        <v>291014</v>
      </c>
      <c r="L9" s="251">
        <f t="shared" si="18"/>
        <v>2023</v>
      </c>
      <c r="M9" s="156">
        <f t="shared" si="19"/>
        <v>1</v>
      </c>
      <c r="N9" s="76">
        <f t="shared" ref="N9:N14" si="26">ROUND(C9*((1+$M$21)^($A9-$M$22)),0)</f>
        <v>265096</v>
      </c>
      <c r="O9" s="77">
        <f t="shared" ref="O9:O14" si="27">ROUND((D9*(1+$M$21)^($A9-$M$22)),0)</f>
        <v>0</v>
      </c>
      <c r="P9" s="77">
        <f t="shared" ref="P9:P14" si="28">ROUND(((E9)*(1+$M$21)^($A9-$M$22)),0)</f>
        <v>52055</v>
      </c>
      <c r="Q9" s="77">
        <f t="shared" ref="Q9:U14" si="29">ROUND((F9*(1+$M$21)^($A9-$M$22)),0)</f>
        <v>35813</v>
      </c>
      <c r="R9" s="77">
        <f t="shared" si="29"/>
        <v>1459729</v>
      </c>
      <c r="S9" s="77">
        <f t="shared" si="29"/>
        <v>314156</v>
      </c>
      <c r="T9" s="77">
        <f t="shared" si="29"/>
        <v>564875</v>
      </c>
      <c r="U9" s="77">
        <f t="shared" si="29"/>
        <v>336885</v>
      </c>
      <c r="V9" s="120">
        <f t="shared" si="23"/>
        <v>3028609</v>
      </c>
      <c r="X9" s="203">
        <v>2021</v>
      </c>
      <c r="Y9" s="160">
        <v>1</v>
      </c>
      <c r="Z9" s="160">
        <v>1</v>
      </c>
      <c r="AA9" s="76">
        <f t="shared" si="2"/>
        <v>247753.27102803739</v>
      </c>
      <c r="AB9" s="77">
        <f t="shared" si="3"/>
        <v>0</v>
      </c>
      <c r="AC9" s="77">
        <f t="shared" si="4"/>
        <v>48649.532710280371</v>
      </c>
      <c r="AD9" s="77">
        <f t="shared" si="5"/>
        <v>33470.093457943927</v>
      </c>
      <c r="AE9" s="77">
        <f t="shared" si="6"/>
        <v>1364232.7102803739</v>
      </c>
      <c r="AF9" s="77">
        <f t="shared" si="7"/>
        <v>293603.73831775703</v>
      </c>
      <c r="AG9" s="77">
        <f t="shared" si="8"/>
        <v>527920.56074766349</v>
      </c>
      <c r="AH9" s="77">
        <f t="shared" si="9"/>
        <v>314845.79439252336</v>
      </c>
      <c r="AI9" s="81">
        <f t="shared" si="24"/>
        <v>2830475.7009345796</v>
      </c>
      <c r="AL9" s="13">
        <v>2021</v>
      </c>
      <c r="AM9" s="160">
        <v>1</v>
      </c>
      <c r="AN9" s="115">
        <f>'RCV Factors'!D10</f>
        <v>0</v>
      </c>
      <c r="AO9" s="215">
        <f>'RCV Factors'!E10</f>
        <v>0.79</v>
      </c>
      <c r="AP9" s="215">
        <f>'RCV Factors'!F10</f>
        <v>0.57999999999999996</v>
      </c>
      <c r="AQ9" s="215">
        <f>'RCV Factors'!G10</f>
        <v>0.47499999999999998</v>
      </c>
      <c r="AR9" s="215">
        <f>'RCV Factors'!H10</f>
        <v>0.16</v>
      </c>
      <c r="AS9" s="215">
        <f>'RCV Factors'!I10</f>
        <v>0.65</v>
      </c>
      <c r="AT9" s="215">
        <f>'RCV Factors'!J10</f>
        <v>0</v>
      </c>
      <c r="AU9" s="216">
        <f>'RCV Factors'!K10</f>
        <v>0</v>
      </c>
      <c r="AW9" s="13">
        <v>2021</v>
      </c>
      <c r="AX9" s="160">
        <v>1</v>
      </c>
      <c r="AY9" s="76">
        <f t="shared" si="10"/>
        <v>0</v>
      </c>
      <c r="AZ9" s="77">
        <f t="shared" si="11"/>
        <v>0</v>
      </c>
      <c r="BA9" s="77">
        <f t="shared" si="12"/>
        <v>30200</v>
      </c>
      <c r="BB9" s="77">
        <f t="shared" si="13"/>
        <v>17000</v>
      </c>
      <c r="BC9" s="77">
        <f t="shared" si="14"/>
        <v>233600</v>
      </c>
      <c r="BD9" s="77">
        <f t="shared" si="15"/>
        <v>204200</v>
      </c>
      <c r="BE9" s="77">
        <f t="shared" si="16"/>
        <v>0</v>
      </c>
      <c r="BF9" s="123">
        <f t="shared" si="17"/>
        <v>0</v>
      </c>
      <c r="BG9" s="126">
        <f t="shared" si="25"/>
        <v>485000</v>
      </c>
    </row>
    <row r="10" spans="1:59">
      <c r="A10" s="13">
        <v>2024</v>
      </c>
      <c r="B10" s="156">
        <v>2</v>
      </c>
      <c r="C10" s="314"/>
      <c r="D10" s="65"/>
      <c r="E10" s="320"/>
      <c r="F10" s="65"/>
      <c r="G10" s="65"/>
      <c r="H10" s="65"/>
      <c r="I10" s="65"/>
      <c r="J10" s="321"/>
      <c r="L10" s="251">
        <f t="shared" si="18"/>
        <v>2024</v>
      </c>
      <c r="M10" s="156">
        <f t="shared" si="19"/>
        <v>2</v>
      </c>
      <c r="N10" s="76">
        <f t="shared" si="26"/>
        <v>0</v>
      </c>
      <c r="O10" s="77">
        <f t="shared" si="27"/>
        <v>0</v>
      </c>
      <c r="P10" s="77">
        <f t="shared" si="28"/>
        <v>0</v>
      </c>
      <c r="Q10" s="77">
        <f t="shared" si="29"/>
        <v>0</v>
      </c>
      <c r="R10" s="77">
        <f t="shared" si="29"/>
        <v>0</v>
      </c>
      <c r="S10" s="77">
        <f t="shared" si="29"/>
        <v>0</v>
      </c>
      <c r="T10" s="77">
        <f t="shared" si="29"/>
        <v>0</v>
      </c>
      <c r="U10" s="77">
        <f t="shared" si="29"/>
        <v>0</v>
      </c>
      <c r="V10" s="120">
        <f t="shared" si="23"/>
        <v>0</v>
      </c>
      <c r="X10" s="203">
        <v>2022</v>
      </c>
      <c r="Y10" s="160">
        <v>2</v>
      </c>
      <c r="Z10" s="160">
        <v>2</v>
      </c>
      <c r="AA10" s="76">
        <f t="shared" si="2"/>
        <v>0</v>
      </c>
      <c r="AB10" s="77">
        <f t="shared" si="3"/>
        <v>0</v>
      </c>
      <c r="AC10" s="77">
        <f t="shared" si="4"/>
        <v>0</v>
      </c>
      <c r="AD10" s="77">
        <f t="shared" si="5"/>
        <v>0</v>
      </c>
      <c r="AE10" s="77">
        <f t="shared" si="6"/>
        <v>0</v>
      </c>
      <c r="AF10" s="77">
        <f t="shared" si="7"/>
        <v>0</v>
      </c>
      <c r="AG10" s="77">
        <f t="shared" si="8"/>
        <v>0</v>
      </c>
      <c r="AH10" s="77">
        <f t="shared" si="9"/>
        <v>0</v>
      </c>
      <c r="AI10" s="81">
        <f t="shared" si="24"/>
        <v>0</v>
      </c>
      <c r="AL10" s="13">
        <v>2022</v>
      </c>
      <c r="AM10" s="160">
        <v>2</v>
      </c>
      <c r="AN10" s="115">
        <f>'RCV Factors'!D11</f>
        <v>0</v>
      </c>
      <c r="AO10" s="215">
        <f>'RCV Factors'!E11</f>
        <v>0.8</v>
      </c>
      <c r="AP10" s="215">
        <f>'RCV Factors'!F11</f>
        <v>0.6</v>
      </c>
      <c r="AQ10" s="215">
        <f>'RCV Factors'!G11</f>
        <v>0.5</v>
      </c>
      <c r="AR10" s="215">
        <f>'RCV Factors'!H11</f>
        <v>0.2</v>
      </c>
      <c r="AS10" s="215">
        <f>'RCV Factors'!I11</f>
        <v>0.66666666666666663</v>
      </c>
      <c r="AT10" s="215">
        <f>'RCV Factors'!J11</f>
        <v>0</v>
      </c>
      <c r="AU10" s="216">
        <f>'RCV Factors'!K11</f>
        <v>0</v>
      </c>
      <c r="AW10" s="13">
        <v>2022</v>
      </c>
      <c r="AX10" s="160">
        <v>2</v>
      </c>
      <c r="AY10" s="76">
        <f t="shared" si="10"/>
        <v>0</v>
      </c>
      <c r="AZ10" s="77">
        <f t="shared" si="11"/>
        <v>0</v>
      </c>
      <c r="BA10" s="77">
        <f t="shared" si="12"/>
        <v>0</v>
      </c>
      <c r="BB10" s="77">
        <f t="shared" si="13"/>
        <v>0</v>
      </c>
      <c r="BC10" s="77">
        <f t="shared" si="14"/>
        <v>0</v>
      </c>
      <c r="BD10" s="77">
        <f t="shared" si="15"/>
        <v>0</v>
      </c>
      <c r="BE10" s="77">
        <f t="shared" si="16"/>
        <v>0</v>
      </c>
      <c r="BF10" s="123">
        <f t="shared" si="17"/>
        <v>0</v>
      </c>
      <c r="BG10" s="126">
        <f t="shared" si="25"/>
        <v>0</v>
      </c>
    </row>
    <row r="11" spans="1:59">
      <c r="A11" s="13">
        <v>2025</v>
      </c>
      <c r="B11" s="156">
        <v>3</v>
      </c>
      <c r="C11" s="314"/>
      <c r="D11" s="65"/>
      <c r="E11" s="320"/>
      <c r="F11" s="65"/>
      <c r="G11" s="65"/>
      <c r="H11" s="65"/>
      <c r="I11" s="65"/>
      <c r="J11" s="321"/>
      <c r="L11" s="251">
        <f t="shared" si="18"/>
        <v>2025</v>
      </c>
      <c r="M11" s="156">
        <f t="shared" si="19"/>
        <v>3</v>
      </c>
      <c r="N11" s="76">
        <f t="shared" si="26"/>
        <v>0</v>
      </c>
      <c r="O11" s="77">
        <f t="shared" si="27"/>
        <v>0</v>
      </c>
      <c r="P11" s="77">
        <f t="shared" si="28"/>
        <v>0</v>
      </c>
      <c r="Q11" s="77">
        <f t="shared" si="29"/>
        <v>0</v>
      </c>
      <c r="R11" s="77">
        <f t="shared" si="29"/>
        <v>0</v>
      </c>
      <c r="S11" s="77">
        <f t="shared" si="29"/>
        <v>0</v>
      </c>
      <c r="T11" s="77">
        <f t="shared" si="29"/>
        <v>0</v>
      </c>
      <c r="U11" s="77">
        <f t="shared" si="29"/>
        <v>0</v>
      </c>
      <c r="V11" s="120">
        <f t="shared" si="23"/>
        <v>0</v>
      </c>
      <c r="X11" s="203">
        <v>2023</v>
      </c>
      <c r="Y11" s="160">
        <v>3</v>
      </c>
      <c r="Z11" s="160">
        <v>3</v>
      </c>
      <c r="AA11" s="76">
        <f t="shared" si="2"/>
        <v>0</v>
      </c>
      <c r="AB11" s="77">
        <f t="shared" si="3"/>
        <v>0</v>
      </c>
      <c r="AC11" s="77">
        <f t="shared" si="4"/>
        <v>0</v>
      </c>
      <c r="AD11" s="77">
        <f t="shared" si="5"/>
        <v>0</v>
      </c>
      <c r="AE11" s="77">
        <f t="shared" si="6"/>
        <v>0</v>
      </c>
      <c r="AF11" s="77">
        <f t="shared" si="7"/>
        <v>0</v>
      </c>
      <c r="AG11" s="77">
        <f t="shared" si="8"/>
        <v>0</v>
      </c>
      <c r="AH11" s="77">
        <f t="shared" si="9"/>
        <v>0</v>
      </c>
      <c r="AI11" s="81">
        <f t="shared" si="24"/>
        <v>0</v>
      </c>
      <c r="AL11" s="13">
        <v>2023</v>
      </c>
      <c r="AM11" s="160">
        <v>3</v>
      </c>
      <c r="AN11" s="115">
        <f>'RCV Factors'!D12</f>
        <v>0</v>
      </c>
      <c r="AO11" s="215">
        <f>'RCV Factors'!E12</f>
        <v>0.81</v>
      </c>
      <c r="AP11" s="215">
        <f>'RCV Factors'!F12</f>
        <v>0.62</v>
      </c>
      <c r="AQ11" s="215">
        <f>'RCV Factors'!G12</f>
        <v>0.52500000000000002</v>
      </c>
      <c r="AR11" s="215">
        <f>'RCV Factors'!H12</f>
        <v>0.24</v>
      </c>
      <c r="AS11" s="215">
        <f>'RCV Factors'!I12</f>
        <v>0.68333333333333335</v>
      </c>
      <c r="AT11" s="215">
        <f>'RCV Factors'!J12</f>
        <v>0.05</v>
      </c>
      <c r="AU11" s="216">
        <f>'RCV Factors'!K12</f>
        <v>0</v>
      </c>
      <c r="AW11" s="13">
        <v>2023</v>
      </c>
      <c r="AX11" s="160">
        <v>3</v>
      </c>
      <c r="AY11" s="76">
        <f t="shared" si="10"/>
        <v>0</v>
      </c>
      <c r="AZ11" s="77">
        <f t="shared" si="11"/>
        <v>0</v>
      </c>
      <c r="BA11" s="77">
        <f t="shared" si="12"/>
        <v>0</v>
      </c>
      <c r="BB11" s="77">
        <f t="shared" si="13"/>
        <v>0</v>
      </c>
      <c r="BC11" s="77">
        <f t="shared" si="14"/>
        <v>0</v>
      </c>
      <c r="BD11" s="77">
        <f t="shared" si="15"/>
        <v>0</v>
      </c>
      <c r="BE11" s="77">
        <f t="shared" si="16"/>
        <v>0</v>
      </c>
      <c r="BF11" s="123">
        <f t="shared" si="17"/>
        <v>0</v>
      </c>
      <c r="BG11" s="126">
        <f t="shared" si="25"/>
        <v>0</v>
      </c>
    </row>
    <row r="12" spans="1:59">
      <c r="A12" s="13">
        <v>2026</v>
      </c>
      <c r="B12" s="156">
        <v>4</v>
      </c>
      <c r="C12" s="314"/>
      <c r="D12" s="65"/>
      <c r="E12" s="320"/>
      <c r="F12" s="65"/>
      <c r="G12" s="65"/>
      <c r="H12" s="65"/>
      <c r="I12" s="65"/>
      <c r="J12" s="321"/>
      <c r="L12" s="251">
        <f t="shared" si="18"/>
        <v>2026</v>
      </c>
      <c r="M12" s="156">
        <f t="shared" si="19"/>
        <v>4</v>
      </c>
      <c r="N12" s="76">
        <f t="shared" si="26"/>
        <v>0</v>
      </c>
      <c r="O12" s="77">
        <f t="shared" si="27"/>
        <v>0</v>
      </c>
      <c r="P12" s="77">
        <f t="shared" si="28"/>
        <v>0</v>
      </c>
      <c r="Q12" s="77">
        <f t="shared" si="29"/>
        <v>0</v>
      </c>
      <c r="R12" s="77">
        <f t="shared" si="29"/>
        <v>0</v>
      </c>
      <c r="S12" s="77">
        <f t="shared" si="29"/>
        <v>0</v>
      </c>
      <c r="T12" s="77">
        <f t="shared" si="29"/>
        <v>0</v>
      </c>
      <c r="U12" s="77">
        <f t="shared" si="29"/>
        <v>0</v>
      </c>
      <c r="V12" s="120">
        <f t="shared" si="23"/>
        <v>0</v>
      </c>
      <c r="X12" s="203">
        <v>2024</v>
      </c>
      <c r="Y12" s="160">
        <v>4</v>
      </c>
      <c r="Z12" s="160">
        <v>4</v>
      </c>
      <c r="AA12" s="76">
        <f t="shared" si="2"/>
        <v>0</v>
      </c>
      <c r="AB12" s="77">
        <f t="shared" si="3"/>
        <v>0</v>
      </c>
      <c r="AC12" s="77">
        <f t="shared" si="4"/>
        <v>0</v>
      </c>
      <c r="AD12" s="77">
        <f t="shared" si="5"/>
        <v>0</v>
      </c>
      <c r="AE12" s="77">
        <f t="shared" si="6"/>
        <v>0</v>
      </c>
      <c r="AF12" s="77">
        <f t="shared" si="7"/>
        <v>0</v>
      </c>
      <c r="AG12" s="77">
        <f t="shared" si="8"/>
        <v>0</v>
      </c>
      <c r="AH12" s="77">
        <f t="shared" si="9"/>
        <v>0</v>
      </c>
      <c r="AI12" s="81">
        <f t="shared" si="24"/>
        <v>0</v>
      </c>
      <c r="AL12" s="13">
        <v>2024</v>
      </c>
      <c r="AM12" s="160">
        <v>4</v>
      </c>
      <c r="AN12" s="115">
        <f>'RCV Factors'!D13</f>
        <v>0</v>
      </c>
      <c r="AO12" s="215">
        <f>'RCV Factors'!E13</f>
        <v>0.82</v>
      </c>
      <c r="AP12" s="215">
        <f>'RCV Factors'!F13</f>
        <v>0.64</v>
      </c>
      <c r="AQ12" s="215">
        <f>'RCV Factors'!G13</f>
        <v>0.55000000000000004</v>
      </c>
      <c r="AR12" s="215">
        <f>'RCV Factors'!H13</f>
        <v>0.28000000000000003</v>
      </c>
      <c r="AS12" s="215">
        <f>'RCV Factors'!I13</f>
        <v>0.7</v>
      </c>
      <c r="AT12" s="215">
        <f>'RCV Factors'!J13</f>
        <v>0.1</v>
      </c>
      <c r="AU12" s="216">
        <f>'RCV Factors'!K13</f>
        <v>0</v>
      </c>
      <c r="AW12" s="13">
        <v>2024</v>
      </c>
      <c r="AX12" s="160">
        <v>4</v>
      </c>
      <c r="AY12" s="76">
        <f t="shared" si="10"/>
        <v>0</v>
      </c>
      <c r="AZ12" s="77">
        <f t="shared" si="11"/>
        <v>0</v>
      </c>
      <c r="BA12" s="77">
        <f t="shared" si="12"/>
        <v>0</v>
      </c>
      <c r="BB12" s="77">
        <f t="shared" si="13"/>
        <v>0</v>
      </c>
      <c r="BC12" s="77">
        <f t="shared" si="14"/>
        <v>0</v>
      </c>
      <c r="BD12" s="77">
        <f t="shared" si="15"/>
        <v>0</v>
      </c>
      <c r="BE12" s="77">
        <f t="shared" si="16"/>
        <v>0</v>
      </c>
      <c r="BF12" s="123">
        <f t="shared" si="17"/>
        <v>0</v>
      </c>
      <c r="BG12" s="126">
        <f t="shared" si="25"/>
        <v>0</v>
      </c>
    </row>
    <row r="13" spans="1:59">
      <c r="A13" s="13">
        <v>2027</v>
      </c>
      <c r="B13" s="156">
        <v>5</v>
      </c>
      <c r="C13" s="314"/>
      <c r="D13" s="65"/>
      <c r="E13" s="320"/>
      <c r="F13" s="65"/>
      <c r="G13" s="65"/>
      <c r="H13" s="65"/>
      <c r="I13" s="65"/>
      <c r="J13" s="321"/>
      <c r="L13" s="251">
        <f t="shared" si="18"/>
        <v>2027</v>
      </c>
      <c r="M13" s="156">
        <f t="shared" si="19"/>
        <v>5</v>
      </c>
      <c r="N13" s="76">
        <f t="shared" si="26"/>
        <v>0</v>
      </c>
      <c r="O13" s="77">
        <f t="shared" si="27"/>
        <v>0</v>
      </c>
      <c r="P13" s="77">
        <f t="shared" si="28"/>
        <v>0</v>
      </c>
      <c r="Q13" s="77">
        <f t="shared" si="29"/>
        <v>0</v>
      </c>
      <c r="R13" s="77">
        <f t="shared" si="29"/>
        <v>0</v>
      </c>
      <c r="S13" s="77">
        <f t="shared" si="29"/>
        <v>0</v>
      </c>
      <c r="T13" s="77">
        <f t="shared" si="29"/>
        <v>0</v>
      </c>
      <c r="U13" s="77">
        <f t="shared" si="29"/>
        <v>0</v>
      </c>
      <c r="V13" s="120">
        <f t="shared" ref="V13" si="30">SUM(N13:U13)</f>
        <v>0</v>
      </c>
      <c r="X13" s="203">
        <v>2025</v>
      </c>
      <c r="Y13" s="160">
        <v>5</v>
      </c>
      <c r="Z13" s="160">
        <v>5</v>
      </c>
      <c r="AA13" s="76">
        <f t="shared" si="2"/>
        <v>0</v>
      </c>
      <c r="AB13" s="77">
        <f t="shared" si="3"/>
        <v>0</v>
      </c>
      <c r="AC13" s="77">
        <f t="shared" si="4"/>
        <v>0</v>
      </c>
      <c r="AD13" s="77">
        <f t="shared" si="5"/>
        <v>0</v>
      </c>
      <c r="AE13" s="77">
        <f t="shared" si="6"/>
        <v>0</v>
      </c>
      <c r="AF13" s="77">
        <f t="shared" si="7"/>
        <v>0</v>
      </c>
      <c r="AG13" s="77">
        <f t="shared" si="8"/>
        <v>0</v>
      </c>
      <c r="AH13" s="77">
        <f t="shared" si="9"/>
        <v>0</v>
      </c>
      <c r="AI13" s="81">
        <f t="shared" ref="AI13" si="31">SUM(AA13:AH13)</f>
        <v>0</v>
      </c>
      <c r="AL13" s="13">
        <v>2025</v>
      </c>
      <c r="AM13" s="160">
        <v>5</v>
      </c>
      <c r="AN13" s="115">
        <f>'RCV Factors'!D16</f>
        <v>0</v>
      </c>
      <c r="AO13" s="215">
        <f>'RCV Factors'!E16</f>
        <v>0</v>
      </c>
      <c r="AP13" s="215">
        <f>'RCV Factors'!F14</f>
        <v>0.66</v>
      </c>
      <c r="AQ13" s="215">
        <f>'RCV Factors'!G14</f>
        <v>0.57499999999999996</v>
      </c>
      <c r="AR13" s="215">
        <f>'RCV Factors'!H14</f>
        <v>0.32</v>
      </c>
      <c r="AS13" s="215">
        <f>'RCV Factors'!I14</f>
        <v>0.71666666666666667</v>
      </c>
      <c r="AT13" s="215">
        <f>'RCV Factors'!J14</f>
        <v>0.15</v>
      </c>
      <c r="AU13" s="216">
        <f>'RCV Factors'!K14</f>
        <v>0</v>
      </c>
      <c r="AW13" s="13">
        <v>2025</v>
      </c>
      <c r="AX13" s="160">
        <v>5</v>
      </c>
      <c r="AY13" s="76">
        <f t="shared" si="10"/>
        <v>0</v>
      </c>
      <c r="AZ13" s="77">
        <f t="shared" si="11"/>
        <v>0</v>
      </c>
      <c r="BA13" s="77">
        <f t="shared" si="12"/>
        <v>0</v>
      </c>
      <c r="BB13" s="77">
        <f t="shared" si="13"/>
        <v>0</v>
      </c>
      <c r="BC13" s="77">
        <f t="shared" si="14"/>
        <v>0</v>
      </c>
      <c r="BD13" s="77">
        <f t="shared" si="15"/>
        <v>0</v>
      </c>
      <c r="BE13" s="77">
        <f t="shared" si="16"/>
        <v>0</v>
      </c>
      <c r="BF13" s="123">
        <f t="shared" si="17"/>
        <v>0</v>
      </c>
      <c r="BG13" s="126">
        <f t="shared" ref="BG13:BG14" si="32">SUM(AY13:BF13)</f>
        <v>0</v>
      </c>
    </row>
    <row r="14" spans="1:59" ht="15.75" thickBot="1">
      <c r="A14" s="14">
        <v>2028</v>
      </c>
      <c r="B14" s="54">
        <v>6</v>
      </c>
      <c r="C14" s="315"/>
      <c r="D14" s="313"/>
      <c r="E14" s="322"/>
      <c r="F14" s="313"/>
      <c r="G14" s="313"/>
      <c r="H14" s="313"/>
      <c r="I14" s="313"/>
      <c r="J14" s="323"/>
      <c r="L14" s="23">
        <f t="shared" si="18"/>
        <v>2028</v>
      </c>
      <c r="M14" s="54">
        <f t="shared" si="19"/>
        <v>6</v>
      </c>
      <c r="N14" s="78">
        <f t="shared" si="26"/>
        <v>0</v>
      </c>
      <c r="O14" s="79">
        <f t="shared" si="27"/>
        <v>0</v>
      </c>
      <c r="P14" s="79">
        <f t="shared" si="28"/>
        <v>0</v>
      </c>
      <c r="Q14" s="79">
        <f t="shared" si="29"/>
        <v>0</v>
      </c>
      <c r="R14" s="79">
        <f t="shared" si="29"/>
        <v>0</v>
      </c>
      <c r="S14" s="79">
        <f t="shared" si="29"/>
        <v>0</v>
      </c>
      <c r="T14" s="79">
        <f t="shared" si="29"/>
        <v>0</v>
      </c>
      <c r="U14" s="79">
        <f t="shared" si="29"/>
        <v>0</v>
      </c>
      <c r="V14" s="143">
        <f>SUM(N14:U14)</f>
        <v>0</v>
      </c>
      <c r="X14" s="23">
        <v>2026</v>
      </c>
      <c r="Y14" s="73">
        <v>6</v>
      </c>
      <c r="Z14" s="73">
        <v>6</v>
      </c>
      <c r="AA14" s="78">
        <f t="shared" si="2"/>
        <v>0</v>
      </c>
      <c r="AB14" s="79">
        <f t="shared" si="3"/>
        <v>0</v>
      </c>
      <c r="AC14" s="79">
        <f t="shared" si="4"/>
        <v>0</v>
      </c>
      <c r="AD14" s="79">
        <f t="shared" si="5"/>
        <v>0</v>
      </c>
      <c r="AE14" s="79">
        <f t="shared" si="6"/>
        <v>0</v>
      </c>
      <c r="AF14" s="79">
        <f t="shared" si="7"/>
        <v>0</v>
      </c>
      <c r="AG14" s="79">
        <f t="shared" si="8"/>
        <v>0</v>
      </c>
      <c r="AH14" s="79">
        <f t="shared" si="9"/>
        <v>0</v>
      </c>
      <c r="AI14" s="82">
        <f>SUM(AA14:AH14)</f>
        <v>0</v>
      </c>
      <c r="AL14" s="14">
        <v>2026</v>
      </c>
      <c r="AM14" s="73">
        <v>6</v>
      </c>
      <c r="AN14" s="117">
        <f>'RCV Factors'!D17</f>
        <v>0</v>
      </c>
      <c r="AO14" s="217">
        <f>'RCV Factors'!E17</f>
        <v>0</v>
      </c>
      <c r="AP14" s="217">
        <f>'RCV Factors'!F15</f>
        <v>0.68</v>
      </c>
      <c r="AQ14" s="217">
        <f>'RCV Factors'!G15</f>
        <v>0.6</v>
      </c>
      <c r="AR14" s="217">
        <f>'RCV Factors'!H15</f>
        <v>0.36</v>
      </c>
      <c r="AS14" s="217">
        <f>'RCV Factors'!I15</f>
        <v>0.73333333333333328</v>
      </c>
      <c r="AT14" s="217">
        <f>'RCV Factors'!J15</f>
        <v>0.2</v>
      </c>
      <c r="AU14" s="218">
        <f>'RCV Factors'!K15</f>
        <v>0</v>
      </c>
      <c r="AW14" s="14">
        <v>2026</v>
      </c>
      <c r="AX14" s="73">
        <v>6</v>
      </c>
      <c r="AY14" s="78">
        <f t="shared" si="10"/>
        <v>0</v>
      </c>
      <c r="AZ14" s="79">
        <f t="shared" si="11"/>
        <v>0</v>
      </c>
      <c r="BA14" s="79">
        <f t="shared" si="12"/>
        <v>0</v>
      </c>
      <c r="BB14" s="79">
        <f t="shared" si="13"/>
        <v>0</v>
      </c>
      <c r="BC14" s="79">
        <f t="shared" si="14"/>
        <v>0</v>
      </c>
      <c r="BD14" s="79">
        <f t="shared" si="15"/>
        <v>0</v>
      </c>
      <c r="BE14" s="79">
        <f t="shared" si="16"/>
        <v>0</v>
      </c>
      <c r="BF14" s="165">
        <f t="shared" si="17"/>
        <v>0</v>
      </c>
      <c r="BG14" s="126">
        <f t="shared" si="32"/>
        <v>0</v>
      </c>
    </row>
    <row r="15" spans="1:59" ht="15.75" thickBot="1">
      <c r="B15" s="290"/>
      <c r="C15" s="127">
        <f>SUM(C5:C14)</f>
        <v>1384500</v>
      </c>
      <c r="D15" s="128">
        <f t="shared" ref="D15:J15" si="33">SUM(D5:D14)</f>
        <v>45000</v>
      </c>
      <c r="E15" s="128">
        <f t="shared" si="33"/>
        <v>128467</v>
      </c>
      <c r="F15" s="128">
        <f t="shared" si="33"/>
        <v>88387</v>
      </c>
      <c r="G15" s="128">
        <f t="shared" si="33"/>
        <v>3602759</v>
      </c>
      <c r="H15" s="128">
        <f t="shared" si="33"/>
        <v>775380</v>
      </c>
      <c r="I15" s="128">
        <f t="shared" si="33"/>
        <v>1394160</v>
      </c>
      <c r="J15" s="124">
        <f t="shared" si="33"/>
        <v>831474</v>
      </c>
      <c r="M15" s="290">
        <f>B15</f>
        <v>0</v>
      </c>
      <c r="N15" s="141">
        <f>SUM(N5:N14)</f>
        <v>1420596</v>
      </c>
      <c r="O15" s="142">
        <f t="shared" ref="O15:U15" si="34">SUM(O5:O14)</f>
        <v>45000</v>
      </c>
      <c r="P15" s="142">
        <f t="shared" si="34"/>
        <v>135555</v>
      </c>
      <c r="Q15" s="142">
        <f t="shared" si="34"/>
        <v>93263</v>
      </c>
      <c r="R15" s="142">
        <f t="shared" si="34"/>
        <v>3801519</v>
      </c>
      <c r="S15" s="142">
        <f t="shared" si="34"/>
        <v>818156</v>
      </c>
      <c r="T15" s="142">
        <f t="shared" si="34"/>
        <v>1471075</v>
      </c>
      <c r="U15" s="142">
        <f t="shared" si="34"/>
        <v>877345</v>
      </c>
      <c r="V15" s="131">
        <f>SUM(N15:U15)</f>
        <v>8662509</v>
      </c>
      <c r="AA15" s="146">
        <f>SUM(AA5:AA14)</f>
        <v>1472094.2565280374</v>
      </c>
      <c r="AB15" s="145">
        <f t="shared" ref="AB15:AH15" si="35">SUM(AB5:AB14)</f>
        <v>48150</v>
      </c>
      <c r="AC15" s="145">
        <f>SUM(AC5:AC14)</f>
        <v>132149.53271028039</v>
      </c>
      <c r="AD15" s="145">
        <f t="shared" si="35"/>
        <v>90920.093457943934</v>
      </c>
      <c r="AE15" s="145">
        <f t="shared" si="35"/>
        <v>3706022.7102803737</v>
      </c>
      <c r="AF15" s="145">
        <f t="shared" si="35"/>
        <v>797603.73831775703</v>
      </c>
      <c r="AG15" s="145">
        <f t="shared" si="35"/>
        <v>1434120.5607476635</v>
      </c>
      <c r="AH15" s="147">
        <f t="shared" si="35"/>
        <v>855305.79439252336</v>
      </c>
      <c r="BF15" s="170" t="s">
        <v>15</v>
      </c>
      <c r="BG15" s="124">
        <f>SUM(BG5:BG14)</f>
        <v>1192600</v>
      </c>
    </row>
    <row r="16" spans="1:59" ht="15.75" thickBot="1">
      <c r="C16" s="129"/>
      <c r="D16" s="130"/>
      <c r="E16" s="130"/>
      <c r="F16" s="130"/>
      <c r="G16" s="130"/>
      <c r="H16" s="130"/>
      <c r="I16" s="130"/>
      <c r="J16" s="131">
        <f>SUM(C15:J15)</f>
        <v>8250127</v>
      </c>
      <c r="N16" s="36"/>
      <c r="O16" s="121"/>
      <c r="P16" s="121"/>
      <c r="Q16" s="121"/>
      <c r="R16" s="121"/>
      <c r="S16" s="121"/>
      <c r="T16" s="121"/>
      <c r="U16" s="36"/>
      <c r="V16" s="122"/>
      <c r="AA16" s="129"/>
      <c r="AB16" s="130"/>
      <c r="AC16" s="130"/>
      <c r="AD16" s="130"/>
      <c r="AE16" s="130"/>
      <c r="AF16" s="130"/>
      <c r="AG16" s="130"/>
      <c r="AH16" s="131">
        <f>SUM(AA15:AH15)</f>
        <v>8536366.6864345782</v>
      </c>
      <c r="AZ16" s="2">
        <f>SUM(AZ5:AZ15)</f>
        <v>34700</v>
      </c>
      <c r="BA16" s="2">
        <f t="shared" ref="BA16:BD16" si="36">SUM(BA5:BA15)</f>
        <v>77000</v>
      </c>
      <c r="BB16" s="2">
        <f t="shared" si="36"/>
        <v>42900</v>
      </c>
      <c r="BC16" s="2">
        <f t="shared" si="36"/>
        <v>514600</v>
      </c>
      <c r="BD16" s="2">
        <f t="shared" si="36"/>
        <v>523400</v>
      </c>
      <c r="BF16" s="112" t="s">
        <v>168</v>
      </c>
      <c r="BG16" s="125">
        <f>BG15*(1+$Z$20)^-(22)</f>
        <v>269185.52079292497</v>
      </c>
    </row>
    <row r="18" spans="1:26">
      <c r="L18" s="3" t="s">
        <v>13</v>
      </c>
    </row>
    <row r="19" spans="1:26">
      <c r="A19" s="414" t="s">
        <v>45</v>
      </c>
      <c r="B19" s="414"/>
    </row>
    <row r="20" spans="1:26">
      <c r="A20" s="415">
        <v>-2</v>
      </c>
      <c r="B20" s="415"/>
      <c r="X20" s="413" t="s">
        <v>122</v>
      </c>
      <c r="Y20" s="413"/>
      <c r="Z20" s="144">
        <v>7.0000000000000007E-2</v>
      </c>
    </row>
    <row r="21" spans="1:26">
      <c r="L21" s="140" t="s">
        <v>121</v>
      </c>
      <c r="M21" s="155">
        <v>0.05</v>
      </c>
    </row>
    <row r="22" spans="1:26">
      <c r="L22" s="200" t="s">
        <v>166</v>
      </c>
      <c r="M22" s="200">
        <v>2020</v>
      </c>
    </row>
    <row r="24" spans="1:26" hidden="1"/>
    <row r="25" spans="1:26" hidden="1"/>
    <row r="26" spans="1:26" hidden="1"/>
    <row r="27" spans="1:26" hidden="1"/>
    <row r="28" spans="1:26" hidden="1">
      <c r="K28" s="164"/>
      <c r="L28" s="164"/>
      <c r="M28" s="164"/>
    </row>
    <row r="29" spans="1:26" hidden="1">
      <c r="K29" s="164"/>
      <c r="L29" s="164"/>
      <c r="M29" s="164"/>
    </row>
    <row r="30" spans="1:26" hidden="1">
      <c r="K30" s="164"/>
      <c r="L30" s="164"/>
      <c r="M30" s="164"/>
    </row>
    <row r="31" spans="1:26" hidden="1">
      <c r="K31" s="37"/>
      <c r="L31" s="37"/>
      <c r="M31" s="37"/>
    </row>
    <row r="32" spans="1:26" hidden="1">
      <c r="K32" s="37"/>
      <c r="L32" s="37"/>
      <c r="M32" s="37"/>
    </row>
    <row r="33" spans="11:13" hidden="1">
      <c r="K33" s="37"/>
      <c r="L33" s="37"/>
      <c r="M33" s="37"/>
    </row>
    <row r="34" spans="11:13" hidden="1">
      <c r="K34" s="37"/>
      <c r="L34" s="37"/>
      <c r="M34" s="37"/>
    </row>
    <row r="35" spans="11:13" hidden="1">
      <c r="K35" s="37"/>
      <c r="L35" s="37"/>
      <c r="M35" s="37"/>
    </row>
  </sheetData>
  <mergeCells count="38">
    <mergeCell ref="X20:Y20"/>
    <mergeCell ref="A19:B19"/>
    <mergeCell ref="A20:B20"/>
    <mergeCell ref="L2:L4"/>
    <mergeCell ref="M2:M4"/>
    <mergeCell ref="P3:U3"/>
    <mergeCell ref="A2:A4"/>
    <mergeCell ref="O3:O4"/>
    <mergeCell ref="V3:V4"/>
    <mergeCell ref="N2:V2"/>
    <mergeCell ref="B2:B4"/>
    <mergeCell ref="C3:C4"/>
    <mergeCell ref="D3:D4"/>
    <mergeCell ref="E3:J3"/>
    <mergeCell ref="C2:J2"/>
    <mergeCell ref="AL4:AM4"/>
    <mergeCell ref="AM1:AM3"/>
    <mergeCell ref="AL1:AL3"/>
    <mergeCell ref="AN1:AU1"/>
    <mergeCell ref="AP2:AU2"/>
    <mergeCell ref="AO2:AO3"/>
    <mergeCell ref="AN2:AN3"/>
    <mergeCell ref="Z2:Z4"/>
    <mergeCell ref="Y2:Y4"/>
    <mergeCell ref="X2:X4"/>
    <mergeCell ref="N3:N4"/>
    <mergeCell ref="BG2:BG4"/>
    <mergeCell ref="AX2:AX4"/>
    <mergeCell ref="AW2:AW4"/>
    <mergeCell ref="AA2:AI2"/>
    <mergeCell ref="AI3:AI4"/>
    <mergeCell ref="AA3:AA4"/>
    <mergeCell ref="AB3:AB4"/>
    <mergeCell ref="AC3:AH3"/>
    <mergeCell ref="AY2:BF2"/>
    <mergeCell ref="AY3:AY4"/>
    <mergeCell ref="AZ3:AZ4"/>
    <mergeCell ref="BA3:BF3"/>
  </mergeCells>
  <pageMargins left="0.7" right="0.7" top="0.75" bottom="0.75" header="0.3" footer="0.3"/>
  <pageSetup scale="1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-0.249977111117893"/>
  </sheetPr>
  <dimension ref="A1:AB89"/>
  <sheetViews>
    <sheetView topLeftCell="A28" zoomScale="70" zoomScaleNormal="70" workbookViewId="0">
      <selection activeCell="A71" sqref="A71"/>
    </sheetView>
  </sheetViews>
  <sheetFormatPr defaultRowHeight="15"/>
  <cols>
    <col min="1" max="1" width="16.42578125" customWidth="1"/>
    <col min="2" max="2" width="18.85546875" customWidth="1"/>
    <col min="3" max="34" width="16.42578125" customWidth="1"/>
    <col min="35" max="35" width="10.7109375" bestFit="1" customWidth="1"/>
  </cols>
  <sheetData>
    <row r="1" spans="1:22" ht="15" customHeight="1">
      <c r="A1" s="3" t="s">
        <v>216</v>
      </c>
    </row>
    <row r="2" spans="1:22" ht="15" customHeight="1">
      <c r="A2" s="432" t="s">
        <v>16</v>
      </c>
      <c r="B2" s="437" t="s">
        <v>17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9"/>
      <c r="V2" s="440" t="s">
        <v>15</v>
      </c>
    </row>
    <row r="3" spans="1:22">
      <c r="A3" s="432"/>
      <c r="B3" s="234" t="s">
        <v>212</v>
      </c>
      <c r="C3" s="234" t="s">
        <v>214</v>
      </c>
      <c r="D3" s="234" t="s">
        <v>213</v>
      </c>
      <c r="E3" s="234" t="s">
        <v>215</v>
      </c>
      <c r="F3" s="234" t="s">
        <v>217</v>
      </c>
      <c r="G3" s="234" t="s">
        <v>215</v>
      </c>
      <c r="H3" s="234" t="s">
        <v>218</v>
      </c>
      <c r="I3" s="234" t="s">
        <v>215</v>
      </c>
      <c r="J3" s="234" t="s">
        <v>219</v>
      </c>
      <c r="K3" s="234" t="s">
        <v>215</v>
      </c>
      <c r="L3" s="234" t="s">
        <v>220</v>
      </c>
      <c r="M3" s="234" t="s">
        <v>215</v>
      </c>
      <c r="N3" s="234" t="s">
        <v>221</v>
      </c>
      <c r="O3" s="234" t="s">
        <v>215</v>
      </c>
      <c r="P3" s="234" t="s">
        <v>222</v>
      </c>
      <c r="Q3" s="234" t="s">
        <v>215</v>
      </c>
      <c r="R3" s="234" t="s">
        <v>223</v>
      </c>
      <c r="S3" s="234" t="s">
        <v>215</v>
      </c>
      <c r="T3" s="191" t="s">
        <v>224</v>
      </c>
      <c r="U3" s="234" t="s">
        <v>215</v>
      </c>
      <c r="V3" s="440"/>
    </row>
    <row r="4" spans="1:22">
      <c r="A4" s="229" t="s">
        <v>10</v>
      </c>
      <c r="B4" s="236"/>
      <c r="C4" s="236"/>
      <c r="D4" s="236"/>
      <c r="E4" s="236"/>
      <c r="F4" s="236"/>
      <c r="G4" s="236"/>
      <c r="H4" s="236"/>
      <c r="I4" s="236"/>
      <c r="J4" s="301"/>
      <c r="K4" s="301"/>
      <c r="L4" s="301"/>
      <c r="M4" s="301"/>
      <c r="N4" s="301"/>
      <c r="O4" s="301"/>
      <c r="P4" s="301">
        <v>1</v>
      </c>
      <c r="Q4" s="301"/>
      <c r="R4" s="301"/>
      <c r="S4" s="301"/>
      <c r="T4" s="301"/>
      <c r="U4" s="301"/>
      <c r="V4" s="228">
        <f t="shared" ref="V4:V9" si="0">SUM(B4:U4)</f>
        <v>1</v>
      </c>
    </row>
    <row r="5" spans="1:22">
      <c r="A5" s="229" t="s">
        <v>4</v>
      </c>
      <c r="B5" s="236"/>
      <c r="C5" s="236"/>
      <c r="D5" s="236"/>
      <c r="E5" s="236">
        <v>1</v>
      </c>
      <c r="F5" s="236"/>
      <c r="G5" s="236"/>
      <c r="H5" s="236"/>
      <c r="I5" s="236"/>
      <c r="J5" s="301"/>
      <c r="K5" s="301"/>
      <c r="L5" s="301"/>
      <c r="M5" s="301"/>
      <c r="N5" s="301"/>
      <c r="O5" s="301">
        <v>1</v>
      </c>
      <c r="P5" s="301"/>
      <c r="Q5" s="301"/>
      <c r="R5" s="301"/>
      <c r="S5" s="301"/>
      <c r="T5" s="301"/>
      <c r="U5" s="301"/>
      <c r="V5" s="228">
        <f t="shared" si="0"/>
        <v>2</v>
      </c>
    </row>
    <row r="6" spans="1:22">
      <c r="A6" s="229" t="s">
        <v>3</v>
      </c>
      <c r="B6" s="236">
        <v>2</v>
      </c>
      <c r="C6" s="236"/>
      <c r="D6" s="236">
        <v>1</v>
      </c>
      <c r="E6" s="236">
        <v>1</v>
      </c>
      <c r="F6" s="236">
        <v>1</v>
      </c>
      <c r="G6" s="236">
        <v>1</v>
      </c>
      <c r="H6" s="236"/>
      <c r="I6" s="236"/>
      <c r="J6" s="301">
        <v>5</v>
      </c>
      <c r="K6" s="301"/>
      <c r="L6" s="301">
        <v>4</v>
      </c>
      <c r="M6" s="301"/>
      <c r="N6" s="301">
        <v>1</v>
      </c>
      <c r="O6" s="301">
        <v>2</v>
      </c>
      <c r="P6" s="301">
        <v>5</v>
      </c>
      <c r="Q6" s="301"/>
      <c r="R6" s="301"/>
      <c r="S6" s="301"/>
      <c r="T6" s="301"/>
      <c r="U6" s="301"/>
      <c r="V6" s="228">
        <f t="shared" si="0"/>
        <v>23</v>
      </c>
    </row>
    <row r="7" spans="1:22">
      <c r="A7" s="229" t="s">
        <v>2</v>
      </c>
      <c r="B7" s="236">
        <v>7</v>
      </c>
      <c r="C7" s="236"/>
      <c r="D7" s="236">
        <v>1</v>
      </c>
      <c r="E7" s="236">
        <v>1</v>
      </c>
      <c r="F7" s="236">
        <v>2</v>
      </c>
      <c r="G7" s="236">
        <v>1</v>
      </c>
      <c r="H7" s="236">
        <v>4</v>
      </c>
      <c r="I7" s="236"/>
      <c r="J7" s="301">
        <v>2</v>
      </c>
      <c r="K7" s="301"/>
      <c r="L7" s="301">
        <v>3</v>
      </c>
      <c r="M7" s="301"/>
      <c r="N7" s="301">
        <v>7</v>
      </c>
      <c r="O7" s="301">
        <v>4</v>
      </c>
      <c r="P7" s="301">
        <v>4</v>
      </c>
      <c r="Q7" s="301"/>
      <c r="R7" s="301">
        <v>1</v>
      </c>
      <c r="S7" s="301">
        <v>1</v>
      </c>
      <c r="T7" s="301"/>
      <c r="U7" s="301"/>
      <c r="V7" s="228">
        <f t="shared" si="0"/>
        <v>38</v>
      </c>
    </row>
    <row r="8" spans="1:22">
      <c r="A8" s="229" t="s">
        <v>1</v>
      </c>
      <c r="B8" s="236">
        <v>38</v>
      </c>
      <c r="C8" s="236"/>
      <c r="D8" s="236">
        <v>3</v>
      </c>
      <c r="E8" s="236">
        <v>11</v>
      </c>
      <c r="F8" s="236">
        <v>6</v>
      </c>
      <c r="G8" s="236">
        <v>7</v>
      </c>
      <c r="H8" s="236">
        <v>11</v>
      </c>
      <c r="I8" s="236">
        <v>7</v>
      </c>
      <c r="J8" s="301">
        <v>8</v>
      </c>
      <c r="K8" s="301">
        <v>2</v>
      </c>
      <c r="L8" s="301">
        <v>22</v>
      </c>
      <c r="M8" s="301">
        <v>2</v>
      </c>
      <c r="N8" s="301">
        <v>17</v>
      </c>
      <c r="O8" s="301">
        <v>7</v>
      </c>
      <c r="P8" s="301">
        <v>14</v>
      </c>
      <c r="Q8" s="301"/>
      <c r="R8" s="301">
        <v>5</v>
      </c>
      <c r="S8" s="301">
        <v>3</v>
      </c>
      <c r="T8" s="301">
        <v>2</v>
      </c>
      <c r="U8" s="301">
        <v>7</v>
      </c>
      <c r="V8" s="228">
        <f>SUM(B8:U8)</f>
        <v>172</v>
      </c>
    </row>
    <row r="9" spans="1:22">
      <c r="A9" s="229" t="s">
        <v>50</v>
      </c>
      <c r="B9" s="229"/>
      <c r="C9" s="229"/>
      <c r="D9" s="229"/>
      <c r="E9" s="229"/>
      <c r="F9" s="229"/>
      <c r="G9" s="229"/>
      <c r="H9" s="229"/>
      <c r="I9" s="229"/>
      <c r="J9" s="226"/>
      <c r="K9" s="292"/>
      <c r="L9" s="292"/>
      <c r="M9" s="292"/>
      <c r="N9" s="292"/>
      <c r="O9" s="292"/>
      <c r="P9" s="292"/>
      <c r="Q9" s="292"/>
      <c r="R9" s="292"/>
      <c r="S9" s="226"/>
      <c r="T9" s="292"/>
      <c r="U9" s="226"/>
      <c r="V9" s="228">
        <f t="shared" si="0"/>
        <v>0</v>
      </c>
    </row>
    <row r="10" spans="1:22" ht="15" customHeight="1">
      <c r="A10" s="3" t="s">
        <v>131</v>
      </c>
    </row>
    <row r="11" spans="1:22" ht="15" customHeight="1">
      <c r="A11" s="432" t="s">
        <v>16</v>
      </c>
      <c r="B11" s="437" t="s">
        <v>17</v>
      </c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9"/>
      <c r="V11" s="440" t="s">
        <v>15</v>
      </c>
    </row>
    <row r="12" spans="1:22">
      <c r="A12" s="432"/>
      <c r="B12" s="227" t="str">
        <f>B3</f>
        <v>Anson St</v>
      </c>
      <c r="C12" s="299" t="str">
        <f t="shared" ref="C12:U12" si="1">C3</f>
        <v>segment</v>
      </c>
      <c r="D12" s="299" t="str">
        <f t="shared" si="1"/>
        <v>May St</v>
      </c>
      <c r="E12" s="299" t="str">
        <f t="shared" si="1"/>
        <v>Segment</v>
      </c>
      <c r="F12" s="299" t="str">
        <f t="shared" si="1"/>
        <v>Nevada St</v>
      </c>
      <c r="G12" s="299" t="str">
        <f t="shared" si="1"/>
        <v>Segment</v>
      </c>
      <c r="H12" s="299" t="str">
        <f t="shared" si="1"/>
        <v>Linn St</v>
      </c>
      <c r="I12" s="299" t="str">
        <f t="shared" si="1"/>
        <v>Segment</v>
      </c>
      <c r="J12" s="299" t="str">
        <f t="shared" si="1"/>
        <v>Church St</v>
      </c>
      <c r="K12" s="299" t="str">
        <f t="shared" si="1"/>
        <v>Segment</v>
      </c>
      <c r="L12" s="299" t="str">
        <f t="shared" si="1"/>
        <v>Main St</v>
      </c>
      <c r="M12" s="299" t="str">
        <f t="shared" si="1"/>
        <v>Segment</v>
      </c>
      <c r="N12" s="299" t="str">
        <f t="shared" si="1"/>
        <v>State St</v>
      </c>
      <c r="O12" s="299" t="str">
        <f t="shared" si="1"/>
        <v>Segment</v>
      </c>
      <c r="P12" s="299" t="str">
        <f t="shared" si="1"/>
        <v>Marion St</v>
      </c>
      <c r="Q12" s="299" t="str">
        <f t="shared" si="1"/>
        <v>Segment</v>
      </c>
      <c r="R12" s="299" t="str">
        <f t="shared" si="1"/>
        <v>Riverside St</v>
      </c>
      <c r="S12" s="299" t="str">
        <f t="shared" si="1"/>
        <v>Segment</v>
      </c>
      <c r="T12" s="299" t="str">
        <f t="shared" si="1"/>
        <v>Edgewood St</v>
      </c>
      <c r="U12" s="299" t="str">
        <f t="shared" si="1"/>
        <v>Segment</v>
      </c>
      <c r="V12" s="440"/>
    </row>
    <row r="13" spans="1:22">
      <c r="A13" s="229" t="str">
        <f>A4</f>
        <v>K</v>
      </c>
      <c r="B13" s="229">
        <f t="shared" ref="B13:J13" si="2">B4/10</f>
        <v>0</v>
      </c>
      <c r="C13" s="229">
        <f t="shared" si="2"/>
        <v>0</v>
      </c>
      <c r="D13" s="229">
        <f t="shared" si="2"/>
        <v>0</v>
      </c>
      <c r="E13" s="229">
        <f t="shared" si="2"/>
        <v>0</v>
      </c>
      <c r="F13" s="229">
        <f t="shared" si="2"/>
        <v>0</v>
      </c>
      <c r="G13" s="229">
        <f t="shared" si="2"/>
        <v>0</v>
      </c>
      <c r="H13" s="229">
        <f t="shared" si="2"/>
        <v>0</v>
      </c>
      <c r="I13" s="229">
        <f t="shared" si="2"/>
        <v>0</v>
      </c>
      <c r="J13" s="229">
        <f t="shared" si="2"/>
        <v>0</v>
      </c>
      <c r="K13" s="231">
        <f t="shared" ref="K13:U13" si="3">K4/10</f>
        <v>0</v>
      </c>
      <c r="L13" s="231">
        <f t="shared" si="3"/>
        <v>0</v>
      </c>
      <c r="M13" s="231">
        <f t="shared" si="3"/>
        <v>0</v>
      </c>
      <c r="N13" s="231">
        <f t="shared" si="3"/>
        <v>0</v>
      </c>
      <c r="O13" s="231">
        <f t="shared" si="3"/>
        <v>0</v>
      </c>
      <c r="P13" s="231">
        <f t="shared" si="3"/>
        <v>0.1</v>
      </c>
      <c r="Q13" s="231">
        <f t="shared" si="3"/>
        <v>0</v>
      </c>
      <c r="R13" s="231">
        <f t="shared" si="3"/>
        <v>0</v>
      </c>
      <c r="S13" s="231">
        <f t="shared" si="3"/>
        <v>0</v>
      </c>
      <c r="T13" s="231">
        <f t="shared" si="3"/>
        <v>0</v>
      </c>
      <c r="U13" s="231">
        <f t="shared" si="3"/>
        <v>0</v>
      </c>
      <c r="V13" s="228">
        <f t="shared" ref="V13:V16" si="4">SUM(B13:U13)</f>
        <v>0.1</v>
      </c>
    </row>
    <row r="14" spans="1:22">
      <c r="A14" s="231" t="str">
        <f t="shared" ref="A14:A18" si="5">A5</f>
        <v>A</v>
      </c>
      <c r="B14" s="229">
        <f t="shared" ref="B14:J14" si="6">B5/10</f>
        <v>0</v>
      </c>
      <c r="C14" s="229">
        <f t="shared" si="6"/>
        <v>0</v>
      </c>
      <c r="D14" s="229">
        <f t="shared" si="6"/>
        <v>0</v>
      </c>
      <c r="E14" s="229">
        <f t="shared" si="6"/>
        <v>0.1</v>
      </c>
      <c r="F14" s="229">
        <f t="shared" si="6"/>
        <v>0</v>
      </c>
      <c r="G14" s="229">
        <f t="shared" si="6"/>
        <v>0</v>
      </c>
      <c r="H14" s="229">
        <f t="shared" si="6"/>
        <v>0</v>
      </c>
      <c r="I14" s="229">
        <f t="shared" si="6"/>
        <v>0</v>
      </c>
      <c r="J14" s="229">
        <f t="shared" si="6"/>
        <v>0</v>
      </c>
      <c r="K14" s="231">
        <f t="shared" ref="K14:U14" si="7">K5/10</f>
        <v>0</v>
      </c>
      <c r="L14" s="231">
        <f t="shared" si="7"/>
        <v>0</v>
      </c>
      <c r="M14" s="231">
        <f t="shared" si="7"/>
        <v>0</v>
      </c>
      <c r="N14" s="231">
        <f t="shared" si="7"/>
        <v>0</v>
      </c>
      <c r="O14" s="231">
        <f t="shared" si="7"/>
        <v>0.1</v>
      </c>
      <c r="P14" s="231">
        <f t="shared" si="7"/>
        <v>0</v>
      </c>
      <c r="Q14" s="231">
        <f t="shared" si="7"/>
        <v>0</v>
      </c>
      <c r="R14" s="231">
        <f t="shared" si="7"/>
        <v>0</v>
      </c>
      <c r="S14" s="231">
        <f t="shared" si="7"/>
        <v>0</v>
      </c>
      <c r="T14" s="231">
        <f t="shared" si="7"/>
        <v>0</v>
      </c>
      <c r="U14" s="231">
        <f t="shared" si="7"/>
        <v>0</v>
      </c>
      <c r="V14" s="228">
        <f t="shared" si="4"/>
        <v>0.2</v>
      </c>
    </row>
    <row r="15" spans="1:22">
      <c r="A15" s="231" t="str">
        <f t="shared" si="5"/>
        <v>B</v>
      </c>
      <c r="B15" s="229">
        <f t="shared" ref="B15:J15" si="8">B6/10</f>
        <v>0.2</v>
      </c>
      <c r="C15" s="229">
        <f t="shared" si="8"/>
        <v>0</v>
      </c>
      <c r="D15" s="229">
        <f t="shared" si="8"/>
        <v>0.1</v>
      </c>
      <c r="E15" s="229">
        <f t="shared" si="8"/>
        <v>0.1</v>
      </c>
      <c r="F15" s="229">
        <f t="shared" si="8"/>
        <v>0.1</v>
      </c>
      <c r="G15" s="229">
        <f t="shared" si="8"/>
        <v>0.1</v>
      </c>
      <c r="H15" s="229">
        <f t="shared" si="8"/>
        <v>0</v>
      </c>
      <c r="I15" s="229">
        <f t="shared" si="8"/>
        <v>0</v>
      </c>
      <c r="J15" s="229">
        <f t="shared" si="8"/>
        <v>0.5</v>
      </c>
      <c r="K15" s="231">
        <f t="shared" ref="K15:U15" si="9">K6/10</f>
        <v>0</v>
      </c>
      <c r="L15" s="231">
        <f t="shared" si="9"/>
        <v>0.4</v>
      </c>
      <c r="M15" s="231">
        <f t="shared" si="9"/>
        <v>0</v>
      </c>
      <c r="N15" s="231">
        <f t="shared" si="9"/>
        <v>0.1</v>
      </c>
      <c r="O15" s="231">
        <f t="shared" si="9"/>
        <v>0.2</v>
      </c>
      <c r="P15" s="231">
        <f t="shared" si="9"/>
        <v>0.5</v>
      </c>
      <c r="Q15" s="231">
        <f t="shared" si="9"/>
        <v>0</v>
      </c>
      <c r="R15" s="231">
        <f t="shared" si="9"/>
        <v>0</v>
      </c>
      <c r="S15" s="231">
        <f t="shared" si="9"/>
        <v>0</v>
      </c>
      <c r="T15" s="231">
        <f t="shared" si="9"/>
        <v>0</v>
      </c>
      <c r="U15" s="231">
        <f t="shared" si="9"/>
        <v>0</v>
      </c>
      <c r="V15" s="228">
        <f t="shared" si="4"/>
        <v>2.2999999999999998</v>
      </c>
    </row>
    <row r="16" spans="1:22">
      <c r="A16" s="231" t="str">
        <f t="shared" si="5"/>
        <v>C</v>
      </c>
      <c r="B16" s="229">
        <f t="shared" ref="B16:J16" si="10">B7/10</f>
        <v>0.7</v>
      </c>
      <c r="C16" s="229">
        <f t="shared" si="10"/>
        <v>0</v>
      </c>
      <c r="D16" s="229">
        <f t="shared" si="10"/>
        <v>0.1</v>
      </c>
      <c r="E16" s="229">
        <f t="shared" si="10"/>
        <v>0.1</v>
      </c>
      <c r="F16" s="229">
        <f t="shared" si="10"/>
        <v>0.2</v>
      </c>
      <c r="G16" s="229">
        <f t="shared" si="10"/>
        <v>0.1</v>
      </c>
      <c r="H16" s="229">
        <f t="shared" si="10"/>
        <v>0.4</v>
      </c>
      <c r="I16" s="229">
        <f t="shared" si="10"/>
        <v>0</v>
      </c>
      <c r="J16" s="229">
        <f t="shared" si="10"/>
        <v>0.2</v>
      </c>
      <c r="K16" s="231">
        <f t="shared" ref="K16:U16" si="11">K7/10</f>
        <v>0</v>
      </c>
      <c r="L16" s="231">
        <f t="shared" si="11"/>
        <v>0.3</v>
      </c>
      <c r="M16" s="231">
        <f t="shared" si="11"/>
        <v>0</v>
      </c>
      <c r="N16" s="231">
        <f t="shared" si="11"/>
        <v>0.7</v>
      </c>
      <c r="O16" s="231">
        <f t="shared" si="11"/>
        <v>0.4</v>
      </c>
      <c r="P16" s="231">
        <f t="shared" si="11"/>
        <v>0.4</v>
      </c>
      <c r="Q16" s="231">
        <f t="shared" si="11"/>
        <v>0</v>
      </c>
      <c r="R16" s="231">
        <f t="shared" si="11"/>
        <v>0.1</v>
      </c>
      <c r="S16" s="231">
        <f t="shared" si="11"/>
        <v>0.1</v>
      </c>
      <c r="T16" s="231">
        <f t="shared" si="11"/>
        <v>0</v>
      </c>
      <c r="U16" s="231">
        <f t="shared" si="11"/>
        <v>0</v>
      </c>
      <c r="V16" s="228">
        <f t="shared" si="4"/>
        <v>3.8</v>
      </c>
    </row>
    <row r="17" spans="1:24">
      <c r="A17" s="231" t="str">
        <f t="shared" si="5"/>
        <v>O</v>
      </c>
      <c r="B17" s="229">
        <f t="shared" ref="B17:J17" si="12">B8/10</f>
        <v>3.8</v>
      </c>
      <c r="C17" s="229">
        <f t="shared" si="12"/>
        <v>0</v>
      </c>
      <c r="D17" s="229">
        <f t="shared" si="12"/>
        <v>0.3</v>
      </c>
      <c r="E17" s="229">
        <f t="shared" si="12"/>
        <v>1.1000000000000001</v>
      </c>
      <c r="F17" s="229">
        <f t="shared" si="12"/>
        <v>0.6</v>
      </c>
      <c r="G17" s="229">
        <f t="shared" si="12"/>
        <v>0.7</v>
      </c>
      <c r="H17" s="229">
        <f t="shared" si="12"/>
        <v>1.1000000000000001</v>
      </c>
      <c r="I17" s="229">
        <f t="shared" si="12"/>
        <v>0.7</v>
      </c>
      <c r="J17" s="229">
        <f t="shared" si="12"/>
        <v>0.8</v>
      </c>
      <c r="K17" s="231">
        <f t="shared" ref="K17:U17" si="13">K8/10</f>
        <v>0.2</v>
      </c>
      <c r="L17" s="231">
        <f t="shared" si="13"/>
        <v>2.2000000000000002</v>
      </c>
      <c r="M17" s="231">
        <f t="shared" si="13"/>
        <v>0.2</v>
      </c>
      <c r="N17" s="231">
        <f t="shared" si="13"/>
        <v>1.7</v>
      </c>
      <c r="O17" s="231">
        <f t="shared" si="13"/>
        <v>0.7</v>
      </c>
      <c r="P17" s="231">
        <f t="shared" si="13"/>
        <v>1.4</v>
      </c>
      <c r="Q17" s="231">
        <f t="shared" si="13"/>
        <v>0</v>
      </c>
      <c r="R17" s="231">
        <f t="shared" si="13"/>
        <v>0.5</v>
      </c>
      <c r="S17" s="231">
        <f t="shared" si="13"/>
        <v>0.3</v>
      </c>
      <c r="T17" s="231">
        <f t="shared" si="13"/>
        <v>0.2</v>
      </c>
      <c r="U17" s="231">
        <f t="shared" si="13"/>
        <v>0.7</v>
      </c>
      <c r="V17" s="228">
        <f>SUM(B17:U17)</f>
        <v>17.199999999999996</v>
      </c>
    </row>
    <row r="18" spans="1:24">
      <c r="A18" s="231" t="str">
        <f t="shared" si="5"/>
        <v>U</v>
      </c>
      <c r="B18" s="229">
        <f t="shared" ref="B18:J18" si="14">B9/10</f>
        <v>0</v>
      </c>
      <c r="C18" s="229">
        <f t="shared" si="14"/>
        <v>0</v>
      </c>
      <c r="D18" s="229">
        <f t="shared" si="14"/>
        <v>0</v>
      </c>
      <c r="E18" s="229">
        <f t="shared" si="14"/>
        <v>0</v>
      </c>
      <c r="F18" s="229">
        <f t="shared" si="14"/>
        <v>0</v>
      </c>
      <c r="G18" s="229">
        <f t="shared" si="14"/>
        <v>0</v>
      </c>
      <c r="H18" s="229">
        <f t="shared" si="14"/>
        <v>0</v>
      </c>
      <c r="I18" s="229">
        <f t="shared" si="14"/>
        <v>0</v>
      </c>
      <c r="J18" s="229">
        <f t="shared" si="14"/>
        <v>0</v>
      </c>
      <c r="K18" s="231">
        <f t="shared" ref="K18:U18" si="15">K9/10</f>
        <v>0</v>
      </c>
      <c r="L18" s="231">
        <f t="shared" si="15"/>
        <v>0</v>
      </c>
      <c r="M18" s="231">
        <f t="shared" si="15"/>
        <v>0</v>
      </c>
      <c r="N18" s="231">
        <f t="shared" si="15"/>
        <v>0</v>
      </c>
      <c r="O18" s="231">
        <f t="shared" si="15"/>
        <v>0</v>
      </c>
      <c r="P18" s="231">
        <f t="shared" si="15"/>
        <v>0</v>
      </c>
      <c r="Q18" s="231">
        <f t="shared" si="15"/>
        <v>0</v>
      </c>
      <c r="R18" s="231">
        <f t="shared" si="15"/>
        <v>0</v>
      </c>
      <c r="S18" s="231">
        <f t="shared" si="15"/>
        <v>0</v>
      </c>
      <c r="T18" s="231">
        <f t="shared" si="15"/>
        <v>0</v>
      </c>
      <c r="U18" s="231">
        <f t="shared" si="15"/>
        <v>0</v>
      </c>
      <c r="V18" s="228">
        <f t="shared" ref="V18" si="16">SUM(B18:U18)</f>
        <v>0</v>
      </c>
    </row>
    <row r="19" spans="1:24">
      <c r="A19" s="241"/>
      <c r="B19" s="235"/>
      <c r="C19" s="235"/>
      <c r="D19" s="235"/>
      <c r="E19" s="235"/>
      <c r="F19" s="235"/>
      <c r="G19" s="235"/>
      <c r="H19" s="235"/>
      <c r="I19" s="235"/>
      <c r="J19" s="235"/>
      <c r="K19" s="298"/>
      <c r="L19" s="298"/>
      <c r="M19" s="298"/>
      <c r="N19" s="298"/>
      <c r="O19" s="298"/>
      <c r="P19" s="298"/>
      <c r="Q19" s="298"/>
      <c r="R19" s="298"/>
      <c r="S19" s="235"/>
      <c r="T19" s="298"/>
      <c r="U19" s="235"/>
      <c r="V19" s="9"/>
    </row>
    <row r="20" spans="1:24">
      <c r="B20" s="235"/>
      <c r="C20" s="235"/>
      <c r="D20" s="235"/>
      <c r="E20" s="235"/>
      <c r="F20" s="235"/>
      <c r="G20" s="235"/>
      <c r="H20" s="235"/>
      <c r="I20" s="235"/>
      <c r="J20" s="235"/>
      <c r="K20" s="298"/>
      <c r="L20" s="298"/>
      <c r="M20" s="298"/>
      <c r="N20" s="298"/>
      <c r="O20" s="298"/>
      <c r="P20" s="298"/>
      <c r="Q20" s="298"/>
      <c r="R20" s="298"/>
      <c r="S20" s="235"/>
      <c r="T20" s="298"/>
      <c r="U20" s="235"/>
      <c r="V20" s="9"/>
    </row>
    <row r="21" spans="1:24">
      <c r="A21" s="3" t="s">
        <v>175</v>
      </c>
    </row>
    <row r="22" spans="1:24" ht="15" customHeight="1">
      <c r="A22" s="432" t="s">
        <v>16</v>
      </c>
      <c r="B22" s="432" t="s">
        <v>176</v>
      </c>
      <c r="C22" s="432"/>
      <c r="D22" s="432"/>
      <c r="E22" s="432"/>
      <c r="F22" s="432"/>
      <c r="G22" s="432"/>
      <c r="H22" s="432"/>
      <c r="I22" s="432"/>
      <c r="J22" s="432"/>
      <c r="K22" s="432"/>
      <c r="L22" s="432"/>
      <c r="M22" s="432"/>
      <c r="N22" s="432"/>
      <c r="O22" s="432"/>
      <c r="P22" s="432"/>
      <c r="Q22" s="432"/>
      <c r="R22" s="432"/>
      <c r="S22" s="432"/>
      <c r="T22" s="432"/>
      <c r="U22" s="432"/>
    </row>
    <row r="23" spans="1:24" s="67" customFormat="1" ht="30" customHeight="1">
      <c r="A23" s="432"/>
      <c r="B23" s="233" t="str">
        <f>B3</f>
        <v>Anson St</v>
      </c>
      <c r="C23" s="299" t="str">
        <f t="shared" ref="C23:U23" si="17">C3</f>
        <v>segment</v>
      </c>
      <c r="D23" s="299" t="str">
        <f t="shared" si="17"/>
        <v>May St</v>
      </c>
      <c r="E23" s="299" t="str">
        <f t="shared" si="17"/>
        <v>Segment</v>
      </c>
      <c r="F23" s="299" t="str">
        <f t="shared" si="17"/>
        <v>Nevada St</v>
      </c>
      <c r="G23" s="299" t="str">
        <f t="shared" si="17"/>
        <v>Segment</v>
      </c>
      <c r="H23" s="299" t="str">
        <f t="shared" si="17"/>
        <v>Linn St</v>
      </c>
      <c r="I23" s="299" t="str">
        <f t="shared" si="17"/>
        <v>Segment</v>
      </c>
      <c r="J23" s="299" t="str">
        <f t="shared" si="17"/>
        <v>Church St</v>
      </c>
      <c r="K23" s="299" t="str">
        <f t="shared" si="17"/>
        <v>Segment</v>
      </c>
      <c r="L23" s="299" t="str">
        <f t="shared" si="17"/>
        <v>Main St</v>
      </c>
      <c r="M23" s="299" t="str">
        <f t="shared" si="17"/>
        <v>Segment</v>
      </c>
      <c r="N23" s="299" t="str">
        <f t="shared" si="17"/>
        <v>State St</v>
      </c>
      <c r="O23" s="299" t="str">
        <f t="shared" si="17"/>
        <v>Segment</v>
      </c>
      <c r="P23" s="299" t="str">
        <f t="shared" si="17"/>
        <v>Marion St</v>
      </c>
      <c r="Q23" s="299" t="str">
        <f t="shared" si="17"/>
        <v>Segment</v>
      </c>
      <c r="R23" s="299" t="str">
        <f t="shared" si="17"/>
        <v>Riverside St</v>
      </c>
      <c r="S23" s="299" t="str">
        <f t="shared" si="17"/>
        <v>Segment</v>
      </c>
      <c r="T23" s="299" t="str">
        <f t="shared" si="17"/>
        <v>Edgewood St</v>
      </c>
      <c r="U23" s="299" t="str">
        <f t="shared" si="17"/>
        <v>Segment</v>
      </c>
    </row>
    <row r="24" spans="1:24" s="67" customFormat="1" ht="17.25" customHeight="1">
      <c r="A24" s="233" t="s">
        <v>177</v>
      </c>
      <c r="B24" s="233" t="s">
        <v>177</v>
      </c>
      <c r="C24" s="237" t="s">
        <v>177</v>
      </c>
      <c r="D24" s="237" t="s">
        <v>177</v>
      </c>
      <c r="E24" s="237" t="s">
        <v>177</v>
      </c>
      <c r="F24" s="237" t="s">
        <v>177</v>
      </c>
      <c r="G24" s="237" t="s">
        <v>177</v>
      </c>
      <c r="H24" s="237" t="s">
        <v>177</v>
      </c>
      <c r="I24" s="237" t="s">
        <v>177</v>
      </c>
      <c r="J24" s="237" t="s">
        <v>177</v>
      </c>
      <c r="K24" s="299" t="s">
        <v>177</v>
      </c>
      <c r="L24" s="299" t="s">
        <v>177</v>
      </c>
      <c r="M24" s="299" t="s">
        <v>177</v>
      </c>
      <c r="N24" s="299" t="s">
        <v>177</v>
      </c>
      <c r="O24" s="299" t="s">
        <v>177</v>
      </c>
      <c r="P24" s="299" t="s">
        <v>177</v>
      </c>
      <c r="Q24" s="299" t="s">
        <v>177</v>
      </c>
      <c r="R24" s="299" t="s">
        <v>177</v>
      </c>
      <c r="S24" s="299" t="s">
        <v>177</v>
      </c>
      <c r="T24" s="299" t="s">
        <v>177</v>
      </c>
      <c r="U24" s="299" t="s">
        <v>177</v>
      </c>
    </row>
    <row r="25" spans="1:24">
      <c r="A25" s="231" t="str">
        <f>A4</f>
        <v>K</v>
      </c>
      <c r="B25" s="433">
        <v>0.83</v>
      </c>
      <c r="C25" s="433">
        <v>0.71</v>
      </c>
      <c r="D25" s="433">
        <v>0.5</v>
      </c>
      <c r="E25" s="433">
        <v>0.53</v>
      </c>
      <c r="F25" s="433">
        <v>0.5</v>
      </c>
      <c r="G25" s="433">
        <v>0.71</v>
      </c>
      <c r="H25" s="433">
        <v>0.83</v>
      </c>
      <c r="I25" s="433">
        <v>0.71</v>
      </c>
      <c r="J25" s="433">
        <v>0.83</v>
      </c>
      <c r="K25" s="433">
        <v>0.5</v>
      </c>
      <c r="L25" s="433">
        <v>0.83</v>
      </c>
      <c r="M25" s="433">
        <v>0.49</v>
      </c>
      <c r="N25" s="433">
        <v>0.83</v>
      </c>
      <c r="O25" s="433">
        <v>0.5</v>
      </c>
      <c r="P25" s="433">
        <v>0.5</v>
      </c>
      <c r="Q25" s="433">
        <v>0.5</v>
      </c>
      <c r="R25" s="433">
        <v>0.5</v>
      </c>
      <c r="S25" s="433">
        <v>0.49</v>
      </c>
      <c r="T25" s="433">
        <v>0.5</v>
      </c>
      <c r="U25" s="433">
        <v>0.49</v>
      </c>
      <c r="X25" s="247"/>
    </row>
    <row r="26" spans="1:24">
      <c r="A26" s="231" t="str">
        <f t="shared" ref="A26:A30" si="18">A5</f>
        <v>A</v>
      </c>
      <c r="B26" s="433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X26" s="247"/>
    </row>
    <row r="27" spans="1:24">
      <c r="A27" s="231" t="str">
        <f t="shared" si="18"/>
        <v>B</v>
      </c>
      <c r="B27" s="433">
        <v>0.86</v>
      </c>
      <c r="C27" s="433">
        <v>0.71</v>
      </c>
      <c r="D27" s="433">
        <v>0.53</v>
      </c>
      <c r="E27" s="433">
        <v>0.53</v>
      </c>
      <c r="F27" s="433">
        <v>0.53</v>
      </c>
      <c r="G27" s="433">
        <v>0.71</v>
      </c>
      <c r="H27" s="433">
        <v>0.8</v>
      </c>
      <c r="I27" s="433">
        <v>0.71</v>
      </c>
      <c r="J27" s="433">
        <v>0.8</v>
      </c>
      <c r="K27" s="433">
        <v>0.5</v>
      </c>
      <c r="L27" s="433">
        <v>0.8</v>
      </c>
      <c r="M27" s="433">
        <v>0.49</v>
      </c>
      <c r="N27" s="433">
        <v>0.8</v>
      </c>
      <c r="O27" s="433">
        <v>0.5</v>
      </c>
      <c r="P27" s="433">
        <v>0.53</v>
      </c>
      <c r="Q27" s="433">
        <v>0.5</v>
      </c>
      <c r="R27" s="433">
        <v>0.53</v>
      </c>
      <c r="S27" s="433">
        <v>0.49</v>
      </c>
      <c r="T27" s="433">
        <v>0.53</v>
      </c>
      <c r="U27" s="433">
        <v>0.49</v>
      </c>
      <c r="X27" s="427"/>
    </row>
    <row r="28" spans="1:24">
      <c r="A28" s="231" t="str">
        <f t="shared" si="18"/>
        <v>C</v>
      </c>
      <c r="B28" s="433"/>
      <c r="C28" s="433"/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X28" s="427"/>
    </row>
    <row r="29" spans="1:24">
      <c r="A29" s="231" t="str">
        <f t="shared" si="18"/>
        <v>O</v>
      </c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X29" s="427"/>
    </row>
    <row r="30" spans="1:24">
      <c r="A30" s="231" t="str">
        <f t="shared" si="18"/>
        <v>U</v>
      </c>
      <c r="B30" s="232"/>
      <c r="C30" s="232"/>
      <c r="D30" s="232"/>
      <c r="E30" s="232"/>
      <c r="F30" s="232"/>
      <c r="G30" s="232"/>
      <c r="H30" s="232"/>
      <c r="I30" s="232"/>
      <c r="J30" s="232"/>
      <c r="K30" s="300"/>
      <c r="L30" s="300"/>
      <c r="M30" s="300"/>
      <c r="N30" s="300"/>
      <c r="O30" s="300"/>
      <c r="P30" s="300"/>
      <c r="Q30" s="300"/>
      <c r="R30" s="300"/>
      <c r="S30" s="232"/>
      <c r="T30" s="300"/>
      <c r="U30" s="7"/>
    </row>
    <row r="31" spans="1:24">
      <c r="A31" s="429" t="s">
        <v>24</v>
      </c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1"/>
      <c r="T31" s="298"/>
      <c r="U31" s="10"/>
    </row>
    <row r="32" spans="1:24">
      <c r="A32" s="231" t="s">
        <v>21</v>
      </c>
      <c r="B32" s="239">
        <v>15155</v>
      </c>
      <c r="C32" s="239">
        <v>11400</v>
      </c>
      <c r="D32" s="239">
        <v>11400</v>
      </c>
      <c r="E32" s="308">
        <v>11400</v>
      </c>
      <c r="F32" s="308">
        <v>11400</v>
      </c>
      <c r="G32" s="239">
        <v>12100</v>
      </c>
      <c r="H32" s="32">
        <v>14090</v>
      </c>
      <c r="I32" s="32">
        <v>11800</v>
      </c>
      <c r="J32" s="32">
        <v>13770</v>
      </c>
      <c r="K32" s="32">
        <v>11400</v>
      </c>
      <c r="L32" s="32">
        <v>15300</v>
      </c>
      <c r="M32" s="32">
        <v>9700</v>
      </c>
      <c r="N32" s="32">
        <v>13390</v>
      </c>
      <c r="O32" s="32">
        <v>8850</v>
      </c>
      <c r="P32" s="32">
        <v>9850</v>
      </c>
      <c r="Q32" s="32">
        <v>7700</v>
      </c>
      <c r="R32" s="32">
        <v>8710</v>
      </c>
      <c r="S32" s="32">
        <v>7600</v>
      </c>
      <c r="T32" s="32">
        <v>6910</v>
      </c>
      <c r="U32" s="32">
        <v>5700</v>
      </c>
    </row>
    <row r="33" spans="1:28">
      <c r="A33" s="231" t="s">
        <v>22</v>
      </c>
      <c r="B33" s="240">
        <v>10</v>
      </c>
      <c r="C33" s="240">
        <v>10</v>
      </c>
      <c r="D33" s="240">
        <v>10</v>
      </c>
      <c r="E33" s="240">
        <v>10</v>
      </c>
      <c r="F33" s="240">
        <v>10</v>
      </c>
      <c r="G33" s="240">
        <v>10</v>
      </c>
      <c r="H33" s="31">
        <v>10</v>
      </c>
      <c r="I33" s="31">
        <v>10</v>
      </c>
      <c r="J33" s="31">
        <v>10</v>
      </c>
      <c r="K33" s="240">
        <v>10</v>
      </c>
      <c r="L33" s="240">
        <v>10</v>
      </c>
      <c r="M33" s="240">
        <v>10</v>
      </c>
      <c r="N33" s="240">
        <v>10</v>
      </c>
      <c r="O33" s="240">
        <v>10</v>
      </c>
      <c r="P33" s="240">
        <v>10</v>
      </c>
      <c r="Q33" s="31">
        <v>10</v>
      </c>
      <c r="R33" s="31">
        <v>10</v>
      </c>
      <c r="S33" s="31">
        <v>10</v>
      </c>
      <c r="T33" s="240">
        <v>10</v>
      </c>
      <c r="U33" s="240">
        <v>10</v>
      </c>
    </row>
    <row r="34" spans="1:28">
      <c r="A34" s="231" t="s">
        <v>23</v>
      </c>
      <c r="B34" s="31" t="s">
        <v>19</v>
      </c>
      <c r="C34" s="31">
        <v>0.08</v>
      </c>
      <c r="D34" s="31" t="s">
        <v>19</v>
      </c>
      <c r="E34" s="31">
        <v>0.34</v>
      </c>
      <c r="F34" s="31" t="s">
        <v>19</v>
      </c>
      <c r="G34" s="31">
        <v>0.17</v>
      </c>
      <c r="H34" s="31" t="s">
        <v>19</v>
      </c>
      <c r="I34" s="31">
        <v>0.08</v>
      </c>
      <c r="J34" s="31" t="s">
        <v>19</v>
      </c>
      <c r="K34" s="31">
        <v>0.08</v>
      </c>
      <c r="L34" s="31" t="s">
        <v>19</v>
      </c>
      <c r="M34" s="31">
        <v>0.08</v>
      </c>
      <c r="N34" s="31" t="s">
        <v>19</v>
      </c>
      <c r="O34" s="31">
        <v>0.42</v>
      </c>
      <c r="P34" s="31" t="s">
        <v>19</v>
      </c>
      <c r="Q34" s="31">
        <v>0.08</v>
      </c>
      <c r="R34" s="31" t="s">
        <v>19</v>
      </c>
      <c r="S34" s="31">
        <v>0.21</v>
      </c>
      <c r="T34" s="31" t="s">
        <v>19</v>
      </c>
      <c r="U34" s="31">
        <v>0.19</v>
      </c>
    </row>
    <row r="35" spans="1:28">
      <c r="U35" s="238"/>
    </row>
    <row r="37" spans="1:28">
      <c r="A37" s="3" t="s">
        <v>132</v>
      </c>
    </row>
    <row r="38" spans="1:28" ht="15" customHeight="1">
      <c r="A38" s="432" t="s">
        <v>16</v>
      </c>
      <c r="B38" s="432" t="s">
        <v>20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28" t="s">
        <v>170</v>
      </c>
    </row>
    <row r="39" spans="1:28">
      <c r="A39" s="432"/>
      <c r="B39" s="233" t="str">
        <f>B3</f>
        <v>Anson St</v>
      </c>
      <c r="C39" s="299" t="str">
        <f t="shared" ref="C39:U39" si="19">C3</f>
        <v>segment</v>
      </c>
      <c r="D39" s="299" t="str">
        <f t="shared" si="19"/>
        <v>May St</v>
      </c>
      <c r="E39" s="299" t="str">
        <f t="shared" si="19"/>
        <v>Segment</v>
      </c>
      <c r="F39" s="299" t="str">
        <f t="shared" si="19"/>
        <v>Nevada St</v>
      </c>
      <c r="G39" s="299" t="str">
        <f t="shared" si="19"/>
        <v>Segment</v>
      </c>
      <c r="H39" s="299" t="str">
        <f t="shared" si="19"/>
        <v>Linn St</v>
      </c>
      <c r="I39" s="299" t="str">
        <f t="shared" si="19"/>
        <v>Segment</v>
      </c>
      <c r="J39" s="299" t="str">
        <f t="shared" si="19"/>
        <v>Church St</v>
      </c>
      <c r="K39" s="299" t="str">
        <f t="shared" si="19"/>
        <v>Segment</v>
      </c>
      <c r="L39" s="299" t="str">
        <f t="shared" si="19"/>
        <v>Main St</v>
      </c>
      <c r="M39" s="299" t="str">
        <f t="shared" si="19"/>
        <v>Segment</v>
      </c>
      <c r="N39" s="299" t="str">
        <f t="shared" si="19"/>
        <v>State St</v>
      </c>
      <c r="O39" s="299" t="str">
        <f t="shared" si="19"/>
        <v>Segment</v>
      </c>
      <c r="P39" s="299" t="str">
        <f t="shared" si="19"/>
        <v>Marion St</v>
      </c>
      <c r="Q39" s="299" t="str">
        <f t="shared" si="19"/>
        <v>Segment</v>
      </c>
      <c r="R39" s="299" t="str">
        <f t="shared" si="19"/>
        <v>Riverside St</v>
      </c>
      <c r="S39" s="299" t="str">
        <f t="shared" si="19"/>
        <v>Segment</v>
      </c>
      <c r="T39" s="299" t="str">
        <f t="shared" si="19"/>
        <v>Edgewood St</v>
      </c>
      <c r="U39" s="299" t="str">
        <f t="shared" si="19"/>
        <v>Segment</v>
      </c>
      <c r="V39" s="428"/>
      <c r="AB39" s="248"/>
    </row>
    <row r="40" spans="1:28">
      <c r="A40" s="231" t="str">
        <f>A4</f>
        <v>K</v>
      </c>
      <c r="B40" s="232">
        <f>B25*B13</f>
        <v>0</v>
      </c>
      <c r="C40" s="252">
        <f t="shared" ref="C40:J40" si="20">C25*C13</f>
        <v>0</v>
      </c>
      <c r="D40" s="252">
        <f t="shared" si="20"/>
        <v>0</v>
      </c>
      <c r="E40" s="252">
        <f t="shared" si="20"/>
        <v>0</v>
      </c>
      <c r="F40" s="252">
        <f t="shared" si="20"/>
        <v>0</v>
      </c>
      <c r="G40" s="252">
        <f t="shared" si="20"/>
        <v>0</v>
      </c>
      <c r="H40" s="252">
        <f t="shared" si="20"/>
        <v>0</v>
      </c>
      <c r="I40" s="252">
        <f t="shared" si="20"/>
        <v>0</v>
      </c>
      <c r="J40" s="252">
        <f t="shared" si="20"/>
        <v>0</v>
      </c>
      <c r="K40" s="300">
        <f t="shared" ref="K40:U40" si="21">K25*K13</f>
        <v>0</v>
      </c>
      <c r="L40" s="300">
        <f t="shared" si="21"/>
        <v>0</v>
      </c>
      <c r="M40" s="300">
        <f t="shared" si="21"/>
        <v>0</v>
      </c>
      <c r="N40" s="300">
        <f t="shared" si="21"/>
        <v>0</v>
      </c>
      <c r="O40" s="300">
        <f t="shared" si="21"/>
        <v>0</v>
      </c>
      <c r="P40" s="300">
        <f t="shared" si="21"/>
        <v>0.05</v>
      </c>
      <c r="Q40" s="300">
        <f t="shared" si="21"/>
        <v>0</v>
      </c>
      <c r="R40" s="300">
        <f t="shared" si="21"/>
        <v>0</v>
      </c>
      <c r="S40" s="300">
        <f t="shared" si="21"/>
        <v>0</v>
      </c>
      <c r="T40" s="300">
        <f t="shared" si="21"/>
        <v>0</v>
      </c>
      <c r="U40" s="300">
        <f t="shared" si="21"/>
        <v>0</v>
      </c>
      <c r="V40" s="246">
        <f>SUM(B40:U40)</f>
        <v>0.05</v>
      </c>
    </row>
    <row r="41" spans="1:28">
      <c r="A41" s="231" t="str">
        <f t="shared" ref="A41:A44" si="22">A5</f>
        <v>A</v>
      </c>
      <c r="B41" s="232">
        <f>B25*B14</f>
        <v>0</v>
      </c>
      <c r="C41" s="252">
        <f t="shared" ref="C41:J41" si="23">C25*C14</f>
        <v>0</v>
      </c>
      <c r="D41" s="252">
        <f t="shared" si="23"/>
        <v>0</v>
      </c>
      <c r="E41" s="252">
        <f t="shared" si="23"/>
        <v>5.3000000000000005E-2</v>
      </c>
      <c r="F41" s="252">
        <f t="shared" si="23"/>
        <v>0</v>
      </c>
      <c r="G41" s="252">
        <f t="shared" si="23"/>
        <v>0</v>
      </c>
      <c r="H41" s="252">
        <f t="shared" si="23"/>
        <v>0</v>
      </c>
      <c r="I41" s="252">
        <f t="shared" si="23"/>
        <v>0</v>
      </c>
      <c r="J41" s="252">
        <f t="shared" si="23"/>
        <v>0</v>
      </c>
      <c r="K41" s="300">
        <f t="shared" ref="K41:U41" si="24">K25*K14</f>
        <v>0</v>
      </c>
      <c r="L41" s="300">
        <f t="shared" si="24"/>
        <v>0</v>
      </c>
      <c r="M41" s="300">
        <f t="shared" si="24"/>
        <v>0</v>
      </c>
      <c r="N41" s="300">
        <f t="shared" si="24"/>
        <v>0</v>
      </c>
      <c r="O41" s="300">
        <f t="shared" si="24"/>
        <v>0.05</v>
      </c>
      <c r="P41" s="300">
        <f t="shared" si="24"/>
        <v>0</v>
      </c>
      <c r="Q41" s="300">
        <f t="shared" si="24"/>
        <v>0</v>
      </c>
      <c r="R41" s="300">
        <f t="shared" si="24"/>
        <v>0</v>
      </c>
      <c r="S41" s="300">
        <f t="shared" si="24"/>
        <v>0</v>
      </c>
      <c r="T41" s="300">
        <f t="shared" si="24"/>
        <v>0</v>
      </c>
      <c r="U41" s="300">
        <f t="shared" si="24"/>
        <v>0</v>
      </c>
      <c r="V41" s="246">
        <f t="shared" ref="V41:V44" si="25">SUM(B41:U41)</f>
        <v>0.10300000000000001</v>
      </c>
    </row>
    <row r="42" spans="1:28">
      <c r="A42" s="231" t="str">
        <f t="shared" si="22"/>
        <v>B</v>
      </c>
      <c r="B42" s="232">
        <f>B27*B15</f>
        <v>0.17200000000000001</v>
      </c>
      <c r="C42" s="252">
        <f t="shared" ref="C42:J42" si="26">C27*C15</f>
        <v>0</v>
      </c>
      <c r="D42" s="252">
        <f t="shared" si="26"/>
        <v>5.3000000000000005E-2</v>
      </c>
      <c r="E42" s="252">
        <f t="shared" si="26"/>
        <v>5.3000000000000005E-2</v>
      </c>
      <c r="F42" s="252">
        <f t="shared" si="26"/>
        <v>5.3000000000000005E-2</v>
      </c>
      <c r="G42" s="252">
        <f t="shared" si="26"/>
        <v>7.0999999999999994E-2</v>
      </c>
      <c r="H42" s="252">
        <f t="shared" si="26"/>
        <v>0</v>
      </c>
      <c r="I42" s="252">
        <f t="shared" si="26"/>
        <v>0</v>
      </c>
      <c r="J42" s="252">
        <f t="shared" si="26"/>
        <v>0.4</v>
      </c>
      <c r="K42" s="300">
        <f t="shared" ref="K42:U42" si="27">K27*K15</f>
        <v>0</v>
      </c>
      <c r="L42" s="300">
        <f t="shared" si="27"/>
        <v>0.32000000000000006</v>
      </c>
      <c r="M42" s="300">
        <f t="shared" si="27"/>
        <v>0</v>
      </c>
      <c r="N42" s="300">
        <f t="shared" si="27"/>
        <v>8.0000000000000016E-2</v>
      </c>
      <c r="O42" s="300">
        <f t="shared" si="27"/>
        <v>0.1</v>
      </c>
      <c r="P42" s="300">
        <f t="shared" si="27"/>
        <v>0.26500000000000001</v>
      </c>
      <c r="Q42" s="300">
        <f t="shared" si="27"/>
        <v>0</v>
      </c>
      <c r="R42" s="300">
        <f t="shared" si="27"/>
        <v>0</v>
      </c>
      <c r="S42" s="300">
        <f t="shared" si="27"/>
        <v>0</v>
      </c>
      <c r="T42" s="300">
        <f t="shared" si="27"/>
        <v>0</v>
      </c>
      <c r="U42" s="300">
        <f t="shared" si="27"/>
        <v>0</v>
      </c>
      <c r="V42" s="246">
        <f t="shared" si="25"/>
        <v>1.5670000000000002</v>
      </c>
    </row>
    <row r="43" spans="1:28">
      <c r="A43" s="231" t="str">
        <f t="shared" si="22"/>
        <v>C</v>
      </c>
      <c r="B43" s="232">
        <f>B27*B16</f>
        <v>0.60199999999999998</v>
      </c>
      <c r="C43" s="252">
        <f t="shared" ref="C43:J43" si="28">C27*C16</f>
        <v>0</v>
      </c>
      <c r="D43" s="252">
        <f t="shared" si="28"/>
        <v>5.3000000000000005E-2</v>
      </c>
      <c r="E43" s="252">
        <f t="shared" si="28"/>
        <v>5.3000000000000005E-2</v>
      </c>
      <c r="F43" s="252">
        <f t="shared" si="28"/>
        <v>0.10600000000000001</v>
      </c>
      <c r="G43" s="252">
        <f t="shared" si="28"/>
        <v>7.0999999999999994E-2</v>
      </c>
      <c r="H43" s="252">
        <f t="shared" si="28"/>
        <v>0.32000000000000006</v>
      </c>
      <c r="I43" s="252">
        <f t="shared" si="28"/>
        <v>0</v>
      </c>
      <c r="J43" s="252">
        <f t="shared" si="28"/>
        <v>0.16000000000000003</v>
      </c>
      <c r="K43" s="300">
        <f t="shared" ref="K43:U43" si="29">K27*K16</f>
        <v>0</v>
      </c>
      <c r="L43" s="300">
        <f t="shared" si="29"/>
        <v>0.24</v>
      </c>
      <c r="M43" s="300">
        <f t="shared" si="29"/>
        <v>0</v>
      </c>
      <c r="N43" s="300">
        <f t="shared" si="29"/>
        <v>0.55999999999999994</v>
      </c>
      <c r="O43" s="300">
        <f t="shared" si="29"/>
        <v>0.2</v>
      </c>
      <c r="P43" s="300">
        <f t="shared" si="29"/>
        <v>0.21200000000000002</v>
      </c>
      <c r="Q43" s="300">
        <f t="shared" si="29"/>
        <v>0</v>
      </c>
      <c r="R43" s="300">
        <f t="shared" si="29"/>
        <v>5.3000000000000005E-2</v>
      </c>
      <c r="S43" s="300">
        <f t="shared" si="29"/>
        <v>4.9000000000000002E-2</v>
      </c>
      <c r="T43" s="300">
        <f t="shared" si="29"/>
        <v>0</v>
      </c>
      <c r="U43" s="300">
        <f t="shared" si="29"/>
        <v>0</v>
      </c>
      <c r="V43" s="246">
        <f t="shared" si="25"/>
        <v>2.6790000000000003</v>
      </c>
    </row>
    <row r="44" spans="1:28">
      <c r="A44" s="231" t="str">
        <f t="shared" si="22"/>
        <v>O</v>
      </c>
      <c r="B44" s="232">
        <f>B27*B17</f>
        <v>3.2679999999999998</v>
      </c>
      <c r="C44" s="252">
        <f t="shared" ref="C44:J44" si="30">C27*C17</f>
        <v>0</v>
      </c>
      <c r="D44" s="252">
        <f t="shared" si="30"/>
        <v>0.159</v>
      </c>
      <c r="E44" s="252">
        <f t="shared" si="30"/>
        <v>0.58300000000000007</v>
      </c>
      <c r="F44" s="252">
        <f t="shared" si="30"/>
        <v>0.318</v>
      </c>
      <c r="G44" s="252">
        <f t="shared" si="30"/>
        <v>0.49699999999999994</v>
      </c>
      <c r="H44" s="252">
        <f t="shared" si="30"/>
        <v>0.88000000000000012</v>
      </c>
      <c r="I44" s="252">
        <f t="shared" si="30"/>
        <v>0.49699999999999994</v>
      </c>
      <c r="J44" s="252">
        <f t="shared" si="30"/>
        <v>0.64000000000000012</v>
      </c>
      <c r="K44" s="300">
        <f t="shared" ref="K44:U44" si="31">K27*K17</f>
        <v>0.1</v>
      </c>
      <c r="L44" s="300">
        <f t="shared" si="31"/>
        <v>1.7600000000000002</v>
      </c>
      <c r="M44" s="300">
        <f t="shared" si="31"/>
        <v>9.8000000000000004E-2</v>
      </c>
      <c r="N44" s="300">
        <f t="shared" si="31"/>
        <v>1.36</v>
      </c>
      <c r="O44" s="300">
        <f t="shared" si="31"/>
        <v>0.35</v>
      </c>
      <c r="P44" s="300">
        <f t="shared" si="31"/>
        <v>0.74199999999999999</v>
      </c>
      <c r="Q44" s="300">
        <f t="shared" si="31"/>
        <v>0</v>
      </c>
      <c r="R44" s="300">
        <f t="shared" si="31"/>
        <v>0.26500000000000001</v>
      </c>
      <c r="S44" s="300">
        <f t="shared" si="31"/>
        <v>0.14699999999999999</v>
      </c>
      <c r="T44" s="300">
        <f t="shared" si="31"/>
        <v>0.10600000000000001</v>
      </c>
      <c r="U44" s="300">
        <f t="shared" si="31"/>
        <v>0.34299999999999997</v>
      </c>
      <c r="V44" s="246">
        <f t="shared" si="25"/>
        <v>12.113</v>
      </c>
    </row>
    <row r="46" spans="1:28">
      <c r="E46" s="2"/>
      <c r="V46" s="2"/>
      <c r="W46" s="2"/>
    </row>
    <row r="47" spans="1:28">
      <c r="A47" s="175" t="s">
        <v>133</v>
      </c>
      <c r="E47" s="2"/>
      <c r="V47" s="2"/>
      <c r="W47" s="2"/>
    </row>
    <row r="48" spans="1:28">
      <c r="A48" s="432" t="s">
        <v>16</v>
      </c>
      <c r="B48" s="242" t="s">
        <v>96</v>
      </c>
      <c r="C48" s="242"/>
      <c r="D48" s="242"/>
      <c r="E48" s="242"/>
      <c r="F48" s="243"/>
      <c r="G48" s="243"/>
    </row>
    <row r="49" spans="1:7">
      <c r="A49" s="432"/>
      <c r="B49" s="434">
        <v>2020</v>
      </c>
      <c r="C49" s="434"/>
      <c r="D49" s="434">
        <v>2040</v>
      </c>
      <c r="E49" s="434"/>
      <c r="F49" s="435"/>
      <c r="G49" s="435"/>
    </row>
    <row r="50" spans="1:7">
      <c r="A50" s="432"/>
      <c r="B50" s="230" t="s">
        <v>54</v>
      </c>
      <c r="C50" s="230" t="s">
        <v>36</v>
      </c>
      <c r="D50" s="230" t="s">
        <v>35</v>
      </c>
      <c r="E50" s="230" t="s">
        <v>36</v>
      </c>
      <c r="F50" s="159"/>
      <c r="G50" s="159"/>
    </row>
    <row r="51" spans="1:7">
      <c r="A51" s="231" t="str">
        <f>A4</f>
        <v>K</v>
      </c>
      <c r="B51" s="71">
        <f>V13</f>
        <v>0.1</v>
      </c>
      <c r="C51" s="71">
        <f>V40</f>
        <v>0.05</v>
      </c>
      <c r="D51" s="71">
        <f>$B51*(1+$C$58)^6</f>
        <v>0.10303775093937646</v>
      </c>
      <c r="E51" s="71">
        <f>$C51*(1+$C$59)^6</f>
        <v>5.1518875469688231E-2</v>
      </c>
      <c r="F51" s="244"/>
      <c r="G51" s="244"/>
    </row>
    <row r="52" spans="1:7">
      <c r="A52" s="231" t="str">
        <f t="shared" ref="A52:A55" si="32">A5</f>
        <v>A</v>
      </c>
      <c r="B52" s="71">
        <f t="shared" ref="B52:B55" si="33">V14</f>
        <v>0.2</v>
      </c>
      <c r="C52" s="71">
        <f t="shared" ref="C52:C55" si="34">V41</f>
        <v>0.10300000000000001</v>
      </c>
      <c r="D52" s="71">
        <f t="shared" ref="D52:D55" si="35">$B52*(1+$C$58)^6</f>
        <v>0.20607550187875293</v>
      </c>
      <c r="E52" s="71">
        <f t="shared" ref="E52:E55" si="36">$C52*(1+$C$59)^6</f>
        <v>0.10612888346755776</v>
      </c>
      <c r="F52" s="244"/>
      <c r="G52" s="244"/>
    </row>
    <row r="53" spans="1:7">
      <c r="A53" s="231" t="str">
        <f t="shared" si="32"/>
        <v>B</v>
      </c>
      <c r="B53" s="71">
        <f t="shared" si="33"/>
        <v>2.2999999999999998</v>
      </c>
      <c r="C53" s="71">
        <f t="shared" si="34"/>
        <v>1.5670000000000002</v>
      </c>
      <c r="D53" s="71">
        <f t="shared" si="35"/>
        <v>2.3698682716056583</v>
      </c>
      <c r="E53" s="71">
        <f t="shared" si="36"/>
        <v>1.6146015572200294</v>
      </c>
      <c r="F53" s="244"/>
      <c r="G53" s="244"/>
    </row>
    <row r="54" spans="1:7">
      <c r="A54" s="231" t="str">
        <f t="shared" si="32"/>
        <v>C</v>
      </c>
      <c r="B54" s="71">
        <f t="shared" si="33"/>
        <v>3.8</v>
      </c>
      <c r="C54" s="71">
        <f t="shared" si="34"/>
        <v>2.6790000000000003</v>
      </c>
      <c r="D54" s="71">
        <f t="shared" si="35"/>
        <v>3.9154345356963054</v>
      </c>
      <c r="E54" s="71">
        <f t="shared" si="36"/>
        <v>2.7603813476658958</v>
      </c>
      <c r="F54" s="244"/>
      <c r="G54" s="244"/>
    </row>
    <row r="55" spans="1:7">
      <c r="A55" s="231" t="str">
        <f t="shared" si="32"/>
        <v>O</v>
      </c>
      <c r="B55" s="71">
        <f t="shared" si="33"/>
        <v>17.199999999999996</v>
      </c>
      <c r="C55" s="71">
        <f t="shared" si="34"/>
        <v>12.113</v>
      </c>
      <c r="D55" s="71">
        <f t="shared" si="35"/>
        <v>17.722493161572746</v>
      </c>
      <c r="E55" s="71">
        <f t="shared" si="36"/>
        <v>12.48096277128667</v>
      </c>
      <c r="F55" s="244"/>
      <c r="G55" s="244"/>
    </row>
    <row r="56" spans="1:7">
      <c r="B56" s="34">
        <f t="shared" ref="B56:E56" si="37">SUM(B51:B55)</f>
        <v>23.599999999999994</v>
      </c>
      <c r="C56" s="34">
        <f t="shared" si="37"/>
        <v>16.512</v>
      </c>
      <c r="D56" s="34">
        <f t="shared" si="37"/>
        <v>24.316909221692839</v>
      </c>
      <c r="E56" s="34">
        <f t="shared" si="37"/>
        <v>17.01359343510984</v>
      </c>
      <c r="F56" s="245"/>
      <c r="G56" s="245"/>
    </row>
    <row r="57" spans="1:7">
      <c r="E57" s="2"/>
    </row>
    <row r="58" spans="1:7">
      <c r="A58" s="436" t="s">
        <v>18</v>
      </c>
      <c r="B58" s="436"/>
      <c r="C58" s="20">
        <v>5.0000000000000001E-3</v>
      </c>
      <c r="E58" s="2"/>
    </row>
    <row r="59" spans="1:7" ht="15" customHeight="1">
      <c r="A59" s="436" t="s">
        <v>25</v>
      </c>
      <c r="B59" s="436"/>
      <c r="C59" s="20">
        <v>5.0000000000000001E-3</v>
      </c>
      <c r="E59" s="2"/>
    </row>
    <row r="60" spans="1:7">
      <c r="E60" s="2"/>
    </row>
    <row r="61" spans="1:7">
      <c r="E61" s="2"/>
    </row>
    <row r="62" spans="1:7">
      <c r="E62" s="2"/>
    </row>
    <row r="63" spans="1:7">
      <c r="E63" s="2"/>
    </row>
    <row r="64" spans="1:7">
      <c r="A64" s="3" t="s">
        <v>13</v>
      </c>
      <c r="E64" s="2"/>
    </row>
    <row r="65" spans="1:23" ht="17.25">
      <c r="A65" t="s">
        <v>14</v>
      </c>
      <c r="E65" s="2"/>
      <c r="V65" s="2"/>
      <c r="W65" s="2"/>
    </row>
    <row r="66" spans="1:23" ht="17.25">
      <c r="A66" t="s">
        <v>130</v>
      </c>
    </row>
    <row r="69" spans="1:23">
      <c r="A69" t="s">
        <v>235</v>
      </c>
      <c r="D69" t="s">
        <v>238</v>
      </c>
      <c r="E69" t="s">
        <v>239</v>
      </c>
    </row>
    <row r="70" spans="1:23">
      <c r="A70" t="s">
        <v>236</v>
      </c>
    </row>
    <row r="71" spans="1:23">
      <c r="A71" t="s">
        <v>240</v>
      </c>
      <c r="D71">
        <v>0.71</v>
      </c>
      <c r="F71" t="s">
        <v>237</v>
      </c>
    </row>
    <row r="73" spans="1:23">
      <c r="A73" t="s">
        <v>242</v>
      </c>
      <c r="D73">
        <v>0.78</v>
      </c>
      <c r="F73" t="s">
        <v>241</v>
      </c>
    </row>
    <row r="75" spans="1:23">
      <c r="A75" t="s">
        <v>243</v>
      </c>
      <c r="D75">
        <v>0.71</v>
      </c>
      <c r="F75" t="s">
        <v>252</v>
      </c>
    </row>
    <row r="76" spans="1:23">
      <c r="A76" t="s">
        <v>244</v>
      </c>
      <c r="D76">
        <v>0.69</v>
      </c>
      <c r="F76" t="s">
        <v>253</v>
      </c>
    </row>
    <row r="77" spans="1:23">
      <c r="A77" t="s">
        <v>245</v>
      </c>
      <c r="D77">
        <v>0.75</v>
      </c>
      <c r="F77" t="s">
        <v>254</v>
      </c>
    </row>
    <row r="80" spans="1:23">
      <c r="A80" t="s">
        <v>246</v>
      </c>
    </row>
    <row r="81" spans="1:6">
      <c r="A81" t="s">
        <v>258</v>
      </c>
    </row>
    <row r="83" spans="1:6">
      <c r="A83" t="s">
        <v>247</v>
      </c>
      <c r="C83" t="s">
        <v>249</v>
      </c>
      <c r="D83">
        <v>0.73</v>
      </c>
      <c r="E83">
        <v>0.71</v>
      </c>
    </row>
    <row r="84" spans="1:6">
      <c r="C84" t="s">
        <v>250</v>
      </c>
      <c r="D84">
        <v>0.9</v>
      </c>
      <c r="E84">
        <v>0.91</v>
      </c>
      <c r="F84" t="s">
        <v>255</v>
      </c>
    </row>
    <row r="85" spans="1:6">
      <c r="A85" t="s">
        <v>248</v>
      </c>
      <c r="C85" t="s">
        <v>249</v>
      </c>
      <c r="D85">
        <v>0.53</v>
      </c>
      <c r="E85">
        <v>0.5</v>
      </c>
      <c r="F85" t="s">
        <v>256</v>
      </c>
    </row>
    <row r="86" spans="1:6">
      <c r="C86" t="s">
        <v>250</v>
      </c>
      <c r="D86">
        <v>0.81</v>
      </c>
      <c r="E86">
        <v>0.83</v>
      </c>
      <c r="F86" t="s">
        <v>257</v>
      </c>
    </row>
    <row r="88" spans="1:6">
      <c r="A88" t="s">
        <v>251</v>
      </c>
      <c r="C88" t="s">
        <v>249</v>
      </c>
      <c r="D88">
        <v>0.86</v>
      </c>
      <c r="E88">
        <v>0.77</v>
      </c>
    </row>
    <row r="89" spans="1:6">
      <c r="C89" t="s">
        <v>250</v>
      </c>
      <c r="D89">
        <v>0.96</v>
      </c>
      <c r="E89">
        <v>0.91</v>
      </c>
      <c r="F89" t="s">
        <v>255</v>
      </c>
    </row>
  </sheetData>
  <mergeCells count="59">
    <mergeCell ref="A22:A23"/>
    <mergeCell ref="B22:U22"/>
    <mergeCell ref="A2:A3"/>
    <mergeCell ref="B2:U2"/>
    <mergeCell ref="V2:V3"/>
    <mergeCell ref="A11:A12"/>
    <mergeCell ref="B11:U11"/>
    <mergeCell ref="V11:V12"/>
    <mergeCell ref="B25:B26"/>
    <mergeCell ref="C25:C26"/>
    <mergeCell ref="D27:D29"/>
    <mergeCell ref="D25:D26"/>
    <mergeCell ref="E25:E26"/>
    <mergeCell ref="E27:E29"/>
    <mergeCell ref="T25:T26"/>
    <mergeCell ref="O27:O29"/>
    <mergeCell ref="F25:F26"/>
    <mergeCell ref="F27:F29"/>
    <mergeCell ref="G25:G26"/>
    <mergeCell ref="L27:L29"/>
    <mergeCell ref="M27:M29"/>
    <mergeCell ref="N27:N29"/>
    <mergeCell ref="P27:P29"/>
    <mergeCell ref="R27:R29"/>
    <mergeCell ref="T27:T29"/>
    <mergeCell ref="A58:B58"/>
    <mergeCell ref="A59:B59"/>
    <mergeCell ref="U25:U26"/>
    <mergeCell ref="U27:U29"/>
    <mergeCell ref="H25:H26"/>
    <mergeCell ref="I25:I26"/>
    <mergeCell ref="J25:J26"/>
    <mergeCell ref="S25:S26"/>
    <mergeCell ref="K25:K26"/>
    <mergeCell ref="L25:L26"/>
    <mergeCell ref="M25:M26"/>
    <mergeCell ref="N25:N26"/>
    <mergeCell ref="O25:O26"/>
    <mergeCell ref="P25:P26"/>
    <mergeCell ref="Q25:Q26"/>
    <mergeCell ref="R25:R26"/>
    <mergeCell ref="A48:A50"/>
    <mergeCell ref="D49:E49"/>
    <mergeCell ref="F49:G49"/>
    <mergeCell ref="B49:C49"/>
    <mergeCell ref="Q27:Q29"/>
    <mergeCell ref="X27:X29"/>
    <mergeCell ref="V38:V39"/>
    <mergeCell ref="A31:S31"/>
    <mergeCell ref="A38:A39"/>
    <mergeCell ref="B38:U38"/>
    <mergeCell ref="B27:B29"/>
    <mergeCell ref="C27:C29"/>
    <mergeCell ref="G27:G29"/>
    <mergeCell ref="H27:H29"/>
    <mergeCell ref="I27:I29"/>
    <mergeCell ref="J27:J29"/>
    <mergeCell ref="S27:S29"/>
    <mergeCell ref="K27:K29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A6828-F03D-4F7F-BDF3-1E73CCDBEFCC}">
  <sheetPr>
    <tabColor rgb="FF00B050"/>
    <pageSetUpPr fitToPage="1"/>
  </sheetPr>
  <dimension ref="A1:V39"/>
  <sheetViews>
    <sheetView showGridLines="0" zoomScale="85" zoomScaleNormal="85" workbookViewId="0">
      <selection sqref="A1:D38"/>
    </sheetView>
  </sheetViews>
  <sheetFormatPr defaultRowHeight="15"/>
  <cols>
    <col min="1" max="1" width="16.28515625" customWidth="1"/>
    <col min="2" max="3" width="15.7109375" customWidth="1"/>
    <col min="4" max="4" width="18.28515625" customWidth="1"/>
    <col min="5" max="8" width="11.140625" customWidth="1"/>
    <col min="9" max="9" width="9.42578125" style="291" customWidth="1"/>
    <col min="10" max="10" width="16" customWidth="1"/>
    <col min="11" max="11" width="18.5703125" style="291" customWidth="1"/>
    <col min="12" max="12" width="11.140625" style="291" customWidth="1"/>
    <col min="13" max="13" width="5" style="291" customWidth="1"/>
    <col min="14" max="17" width="11.140625" style="291" customWidth="1"/>
    <col min="18" max="21" width="11.140625" customWidth="1"/>
    <col min="22" max="22" width="9.42578125" style="291" customWidth="1"/>
    <col min="23" max="23" width="16" customWidth="1"/>
    <col min="24" max="24" width="18.5703125" customWidth="1"/>
  </cols>
  <sheetData>
    <row r="1" spans="1:22" ht="21">
      <c r="A1" s="355" t="s">
        <v>72</v>
      </c>
      <c r="B1" s="355"/>
      <c r="C1" s="355"/>
      <c r="D1" s="355"/>
      <c r="E1" s="306"/>
      <c r="F1" s="306"/>
      <c r="G1" s="306"/>
      <c r="H1" s="306"/>
    </row>
    <row r="2" spans="1:22">
      <c r="A2" s="356" t="s">
        <v>156</v>
      </c>
      <c r="B2" s="356"/>
      <c r="C2" s="356"/>
      <c r="D2" s="356"/>
      <c r="E2" s="307"/>
      <c r="F2" s="307"/>
      <c r="G2" s="307"/>
      <c r="H2" s="307"/>
    </row>
    <row r="3" spans="1:22">
      <c r="A3" s="441" t="s">
        <v>208</v>
      </c>
      <c r="B3" s="441"/>
      <c r="C3" s="441"/>
      <c r="D3" s="441"/>
      <c r="E3" s="307"/>
      <c r="F3" s="307"/>
      <c r="G3" s="307"/>
      <c r="H3" s="307"/>
    </row>
    <row r="4" spans="1:22">
      <c r="A4" s="3" t="s">
        <v>199</v>
      </c>
    </row>
    <row r="5" spans="1:22" ht="30">
      <c r="A5" s="222" t="s">
        <v>16</v>
      </c>
      <c r="B5" s="295" t="s">
        <v>200</v>
      </c>
      <c r="C5" s="294" t="s">
        <v>52</v>
      </c>
      <c r="D5" s="294" t="s">
        <v>11</v>
      </c>
      <c r="E5" s="291"/>
      <c r="G5" s="291"/>
      <c r="H5" s="291"/>
      <c r="J5" s="291"/>
      <c r="N5"/>
      <c r="O5"/>
      <c r="P5"/>
      <c r="Q5"/>
      <c r="R5" s="291"/>
      <c r="V5"/>
    </row>
    <row r="6" spans="1:22">
      <c r="A6" s="231" t="str">
        <f>'Safety Analysis'!$A$51</f>
        <v>K</v>
      </c>
      <c r="B6" s="46">
        <f>'Safety Analysis'!B51</f>
        <v>0.1</v>
      </c>
      <c r="C6" s="304">
        <f>'Value of Injuries and Crashes'!$C$7</f>
        <v>9600000</v>
      </c>
      <c r="D6" s="192">
        <f>B6*C6</f>
        <v>960000</v>
      </c>
      <c r="E6" s="291"/>
      <c r="F6" s="291"/>
      <c r="G6" s="35"/>
      <c r="H6" s="35"/>
      <c r="I6" s="35"/>
      <c r="J6" s="35"/>
      <c r="K6" s="35"/>
      <c r="L6" s="35"/>
      <c r="M6" s="35"/>
      <c r="N6"/>
      <c r="O6" s="34"/>
      <c r="P6"/>
      <c r="Q6"/>
      <c r="R6" s="291"/>
      <c r="V6"/>
    </row>
    <row r="7" spans="1:22">
      <c r="A7" s="231" t="str">
        <f>'Safety Analysis'!$A$52</f>
        <v>A</v>
      </c>
      <c r="B7" s="46">
        <f>'Safety Analysis'!B52</f>
        <v>0.2</v>
      </c>
      <c r="C7" s="304">
        <f>'Value of Injuries and Crashes'!$C$6</f>
        <v>459100</v>
      </c>
      <c r="D7" s="192">
        <f t="shared" ref="D7:D10" si="0">B7*C7</f>
        <v>91820</v>
      </c>
      <c r="E7" s="291"/>
      <c r="F7" s="291"/>
      <c r="G7" s="35"/>
      <c r="H7" s="35"/>
      <c r="I7" s="35"/>
      <c r="J7" s="35"/>
      <c r="K7" s="35"/>
      <c r="L7" s="35"/>
      <c r="M7" s="35"/>
      <c r="N7"/>
      <c r="O7" s="34"/>
      <c r="P7"/>
      <c r="Q7"/>
      <c r="R7" s="291"/>
      <c r="V7"/>
    </row>
    <row r="8" spans="1:22">
      <c r="A8" s="231" t="str">
        <f>'Safety Analysis'!$A$53</f>
        <v>B</v>
      </c>
      <c r="B8" s="46">
        <f>'Safety Analysis'!B53</f>
        <v>2.2999999999999998</v>
      </c>
      <c r="C8" s="304">
        <f>'Value of Injuries and Crashes'!$C$5</f>
        <v>125000</v>
      </c>
      <c r="D8" s="192">
        <f t="shared" si="0"/>
        <v>287500</v>
      </c>
      <c r="E8" s="291"/>
      <c r="F8" s="291"/>
      <c r="G8" s="35"/>
      <c r="H8" s="35"/>
      <c r="I8" s="35"/>
      <c r="J8" s="35"/>
      <c r="K8" s="35"/>
      <c r="L8" s="35"/>
      <c r="M8" s="35"/>
      <c r="N8"/>
      <c r="O8" s="34"/>
      <c r="P8"/>
      <c r="Q8"/>
      <c r="R8" s="291"/>
      <c r="V8"/>
    </row>
    <row r="9" spans="1:22">
      <c r="A9" s="231" t="str">
        <f>'Safety Analysis'!$A$54</f>
        <v>C</v>
      </c>
      <c r="B9" s="46">
        <f>'Safety Analysis'!B54</f>
        <v>3.8</v>
      </c>
      <c r="C9" s="304">
        <f>'Value of Injuries and Crashes'!$C$4</f>
        <v>63900</v>
      </c>
      <c r="D9" s="192">
        <f t="shared" si="0"/>
        <v>242820</v>
      </c>
      <c r="E9" s="291"/>
      <c r="F9" s="291"/>
      <c r="G9" s="35"/>
      <c r="H9" s="35"/>
      <c r="I9" s="35"/>
      <c r="J9" s="35"/>
      <c r="K9" s="35"/>
      <c r="L9" s="35"/>
      <c r="M9" s="35"/>
      <c r="N9"/>
      <c r="O9" s="34"/>
      <c r="P9"/>
      <c r="Q9"/>
      <c r="R9" s="291"/>
      <c r="V9"/>
    </row>
    <row r="10" spans="1:22">
      <c r="A10" s="231" t="str">
        <f>'Safety Analysis'!$A$55</f>
        <v>O</v>
      </c>
      <c r="B10" s="46">
        <f>'Safety Analysis'!B55</f>
        <v>17.199999999999996</v>
      </c>
      <c r="C10" s="304">
        <f>'Value of Injuries and Crashes'!$C$3</f>
        <v>3200</v>
      </c>
      <c r="D10" s="192">
        <f t="shared" si="0"/>
        <v>55039.999999999985</v>
      </c>
      <c r="E10" s="291"/>
      <c r="F10" s="291"/>
      <c r="G10" s="35"/>
      <c r="H10" s="35"/>
      <c r="I10" s="35"/>
      <c r="J10" s="35"/>
      <c r="K10" s="35"/>
      <c r="L10" s="35"/>
      <c r="M10" s="35"/>
      <c r="N10"/>
      <c r="O10" s="34"/>
      <c r="P10"/>
      <c r="Q10"/>
      <c r="R10" s="291"/>
      <c r="V10"/>
    </row>
    <row r="11" spans="1:22">
      <c r="A11" s="231" t="s">
        <v>206</v>
      </c>
      <c r="B11" s="46">
        <f>SUM(B6:B10)</f>
        <v>23.599999999999994</v>
      </c>
      <c r="C11" s="294" t="s">
        <v>207</v>
      </c>
      <c r="D11" s="305">
        <f>SUM(D6:D10)</f>
        <v>1637180</v>
      </c>
      <c r="E11" s="185"/>
      <c r="F11" s="185"/>
      <c r="G11" s="185"/>
      <c r="H11" s="185"/>
      <c r="J11" s="291"/>
      <c r="K11" s="33"/>
      <c r="L11" s="33"/>
      <c r="M11" s="33"/>
      <c r="N11" s="33"/>
      <c r="O11" s="33"/>
      <c r="P11" s="33"/>
      <c r="Q11" s="33"/>
      <c r="U11" s="49"/>
    </row>
    <row r="12" spans="1:22">
      <c r="A12" s="3"/>
      <c r="B12" s="185"/>
      <c r="C12" s="185"/>
      <c r="D12" s="185"/>
      <c r="E12" s="185"/>
      <c r="F12" s="185"/>
      <c r="G12" s="185"/>
      <c r="H12" s="185"/>
      <c r="J12" s="291"/>
      <c r="K12" s="33"/>
      <c r="L12" s="33"/>
      <c r="M12" s="33"/>
      <c r="N12" s="33"/>
      <c r="O12" s="33"/>
      <c r="P12" s="33"/>
      <c r="Q12" s="33"/>
      <c r="U12" s="49"/>
    </row>
    <row r="13" spans="1:22">
      <c r="A13" s="3" t="s">
        <v>209</v>
      </c>
    </row>
    <row r="14" spans="1:22" ht="30">
      <c r="A14" s="222" t="s">
        <v>16</v>
      </c>
      <c r="B14" s="295" t="s">
        <v>200</v>
      </c>
      <c r="C14" s="294" t="s">
        <v>52</v>
      </c>
      <c r="D14" s="294" t="s">
        <v>11</v>
      </c>
      <c r="E14" s="291"/>
      <c r="G14" s="291"/>
      <c r="H14" s="291"/>
      <c r="J14" s="291"/>
      <c r="N14"/>
      <c r="O14"/>
      <c r="P14"/>
      <c r="Q14"/>
      <c r="R14" s="291"/>
      <c r="V14"/>
    </row>
    <row r="15" spans="1:22">
      <c r="A15" s="231" t="str">
        <f>'Safety Analysis'!$A$51</f>
        <v>K</v>
      </c>
      <c r="B15" s="46">
        <f>'Safety Analysis'!C51</f>
        <v>0.05</v>
      </c>
      <c r="C15" s="304">
        <f>'Value of Injuries and Crashes'!$C$7</f>
        <v>9600000</v>
      </c>
      <c r="D15" s="192">
        <f>B15*C15</f>
        <v>480000</v>
      </c>
      <c r="E15" s="291"/>
      <c r="F15" s="291"/>
      <c r="G15" s="35"/>
      <c r="H15" s="35"/>
      <c r="I15" s="35"/>
      <c r="J15" s="35"/>
      <c r="K15" s="35"/>
      <c r="L15" s="35"/>
      <c r="M15" s="35"/>
      <c r="N15"/>
      <c r="O15" s="34"/>
      <c r="P15"/>
      <c r="Q15"/>
      <c r="R15" s="291"/>
      <c r="V15"/>
    </row>
    <row r="16" spans="1:22">
      <c r="A16" s="231" t="str">
        <f>'Safety Analysis'!$A$52</f>
        <v>A</v>
      </c>
      <c r="B16" s="46">
        <f>'Safety Analysis'!C52</f>
        <v>0.10300000000000001</v>
      </c>
      <c r="C16" s="304">
        <f>'Value of Injuries and Crashes'!$C$6</f>
        <v>459100</v>
      </c>
      <c r="D16" s="192">
        <f t="shared" ref="D16:D19" si="1">B16*C16</f>
        <v>47287.3</v>
      </c>
      <c r="E16" s="291"/>
      <c r="F16" s="291"/>
      <c r="G16" s="35"/>
      <c r="H16" s="35"/>
      <c r="I16" s="35"/>
      <c r="J16" s="35"/>
      <c r="K16" s="35"/>
      <c r="L16" s="35"/>
      <c r="M16" s="35"/>
      <c r="N16"/>
      <c r="O16" s="34"/>
      <c r="P16"/>
      <c r="Q16"/>
      <c r="R16" s="291"/>
      <c r="V16"/>
    </row>
    <row r="17" spans="1:22">
      <c r="A17" s="231" t="str">
        <f>'Safety Analysis'!$A$53</f>
        <v>B</v>
      </c>
      <c r="B17" s="46">
        <f>'Safety Analysis'!C53</f>
        <v>1.5670000000000002</v>
      </c>
      <c r="C17" s="304">
        <f>'Value of Injuries and Crashes'!$C$5</f>
        <v>125000</v>
      </c>
      <c r="D17" s="192">
        <f t="shared" si="1"/>
        <v>195875.00000000003</v>
      </c>
      <c r="E17" s="291"/>
      <c r="F17" s="291"/>
      <c r="G17" s="35"/>
      <c r="H17" s="35"/>
      <c r="I17" s="35"/>
      <c r="J17" s="35"/>
      <c r="K17" s="35"/>
      <c r="L17" s="35"/>
      <c r="M17" s="35"/>
      <c r="N17"/>
      <c r="O17" s="34"/>
      <c r="P17"/>
      <c r="Q17"/>
      <c r="R17" s="291"/>
      <c r="V17"/>
    </row>
    <row r="18" spans="1:22">
      <c r="A18" s="231" t="str">
        <f>'Safety Analysis'!$A$54</f>
        <v>C</v>
      </c>
      <c r="B18" s="46">
        <f>'Safety Analysis'!C54</f>
        <v>2.6790000000000003</v>
      </c>
      <c r="C18" s="304">
        <f>'Value of Injuries and Crashes'!$C$4</f>
        <v>63900</v>
      </c>
      <c r="D18" s="192">
        <f t="shared" si="1"/>
        <v>171188.1</v>
      </c>
      <c r="E18" s="291"/>
      <c r="F18" s="291"/>
      <c r="G18" s="35"/>
      <c r="H18" s="35"/>
      <c r="I18" s="35"/>
      <c r="J18" s="35"/>
      <c r="K18" s="35"/>
      <c r="L18" s="35"/>
      <c r="M18" s="35"/>
      <c r="N18"/>
      <c r="O18" s="34"/>
      <c r="P18"/>
      <c r="Q18"/>
      <c r="R18" s="291"/>
      <c r="V18"/>
    </row>
    <row r="19" spans="1:22">
      <c r="A19" s="231" t="str">
        <f>'Safety Analysis'!$A$55</f>
        <v>O</v>
      </c>
      <c r="B19" s="46">
        <f>'Safety Analysis'!C55</f>
        <v>12.113</v>
      </c>
      <c r="C19" s="304">
        <f>'Value of Injuries and Crashes'!$C$3</f>
        <v>3200</v>
      </c>
      <c r="D19" s="192">
        <f t="shared" si="1"/>
        <v>38761.599999999999</v>
      </c>
      <c r="E19" s="291"/>
      <c r="F19" s="291"/>
      <c r="G19" s="35"/>
      <c r="H19" s="35"/>
      <c r="I19" s="35"/>
      <c r="J19" s="35"/>
      <c r="K19" s="35"/>
      <c r="L19" s="35"/>
      <c r="M19" s="35"/>
      <c r="N19"/>
      <c r="O19" s="34"/>
      <c r="P19"/>
      <c r="Q19"/>
      <c r="R19" s="291"/>
      <c r="V19"/>
    </row>
    <row r="20" spans="1:22">
      <c r="A20" s="231" t="s">
        <v>206</v>
      </c>
      <c r="B20" s="46">
        <f>SUM(B15:B19)</f>
        <v>16.512</v>
      </c>
      <c r="C20" s="294" t="s">
        <v>207</v>
      </c>
      <c r="D20" s="305">
        <f>SUM(D15:D19)</f>
        <v>933112</v>
      </c>
      <c r="E20" s="185"/>
      <c r="F20" s="185"/>
      <c r="G20" s="185"/>
      <c r="H20" s="185"/>
      <c r="J20" s="291"/>
      <c r="K20" s="33"/>
      <c r="L20" s="33"/>
      <c r="M20" s="33"/>
      <c r="N20" s="33"/>
      <c r="O20" s="33"/>
      <c r="P20" s="33"/>
      <c r="Q20" s="33"/>
      <c r="U20" s="49"/>
    </row>
    <row r="21" spans="1:22">
      <c r="B21" s="185"/>
      <c r="C21" s="185"/>
      <c r="D21" s="185"/>
      <c r="E21" s="185"/>
      <c r="F21" s="185"/>
      <c r="G21" s="185"/>
      <c r="H21" s="185"/>
      <c r="J21" s="291"/>
      <c r="K21" s="33"/>
      <c r="L21" s="33"/>
      <c r="M21" s="33"/>
      <c r="N21" s="33"/>
      <c r="O21" s="33"/>
      <c r="P21" s="33"/>
      <c r="Q21" s="33"/>
      <c r="U21" s="49"/>
    </row>
    <row r="22" spans="1:22">
      <c r="A22" s="3" t="s">
        <v>211</v>
      </c>
    </row>
    <row r="23" spans="1:22" ht="30">
      <c r="A23" s="222" t="s">
        <v>16</v>
      </c>
      <c r="B23" s="295" t="s">
        <v>200</v>
      </c>
      <c r="C23" s="294" t="s">
        <v>52</v>
      </c>
      <c r="D23" s="294" t="s">
        <v>11</v>
      </c>
      <c r="E23" s="291"/>
      <c r="G23" s="291"/>
      <c r="H23" s="291"/>
      <c r="J23" s="291"/>
      <c r="N23"/>
      <c r="O23"/>
      <c r="P23"/>
      <c r="Q23"/>
      <c r="R23" s="291"/>
      <c r="V23"/>
    </row>
    <row r="24" spans="1:22">
      <c r="A24" s="231" t="str">
        <f>'Safety Analysis'!$A$51</f>
        <v>K</v>
      </c>
      <c r="B24" s="46">
        <f>'Safety Analysis'!D51</f>
        <v>0.10303775093937646</v>
      </c>
      <c r="C24" s="304">
        <f>'Value of Injuries and Crashes'!$C$7</f>
        <v>9600000</v>
      </c>
      <c r="D24" s="192">
        <f>B24*C24</f>
        <v>989162.40901801409</v>
      </c>
      <c r="E24" s="291"/>
      <c r="F24" s="291"/>
      <c r="G24" s="35"/>
      <c r="H24" s="35"/>
      <c r="I24" s="35"/>
      <c r="J24" s="35"/>
      <c r="K24" s="35"/>
      <c r="L24" s="35"/>
      <c r="M24" s="35"/>
      <c r="N24"/>
      <c r="O24" s="34"/>
      <c r="P24"/>
      <c r="Q24"/>
      <c r="R24" s="291"/>
      <c r="V24"/>
    </row>
    <row r="25" spans="1:22">
      <c r="A25" s="231" t="str">
        <f>'Safety Analysis'!$A$52</f>
        <v>A</v>
      </c>
      <c r="B25" s="46">
        <f>'Safety Analysis'!D52</f>
        <v>0.20607550187875293</v>
      </c>
      <c r="C25" s="304">
        <f>'Value of Injuries and Crashes'!$C$6</f>
        <v>459100</v>
      </c>
      <c r="D25" s="192">
        <f t="shared" ref="D25:D28" si="2">B25*C25</f>
        <v>94609.262912535472</v>
      </c>
      <c r="E25" s="291"/>
      <c r="F25" s="291"/>
      <c r="G25" s="35"/>
      <c r="H25" s="35"/>
      <c r="I25" s="35"/>
      <c r="J25" s="35"/>
      <c r="K25" s="35"/>
      <c r="L25" s="35"/>
      <c r="M25" s="35"/>
      <c r="N25"/>
      <c r="O25" s="34"/>
      <c r="P25"/>
      <c r="Q25"/>
      <c r="R25" s="291"/>
      <c r="V25"/>
    </row>
    <row r="26" spans="1:22">
      <c r="A26" s="231" t="str">
        <f>'Safety Analysis'!$A$53</f>
        <v>B</v>
      </c>
      <c r="B26" s="46">
        <f>'Safety Analysis'!D53</f>
        <v>2.3698682716056583</v>
      </c>
      <c r="C26" s="304">
        <f>'Value of Injuries and Crashes'!$C$5</f>
        <v>125000</v>
      </c>
      <c r="D26" s="192">
        <f t="shared" si="2"/>
        <v>296233.53395070729</v>
      </c>
      <c r="E26" s="291"/>
      <c r="F26" s="291"/>
      <c r="G26" s="35"/>
      <c r="H26" s="35"/>
      <c r="I26" s="35"/>
      <c r="J26" s="35"/>
      <c r="K26" s="35"/>
      <c r="L26" s="35"/>
      <c r="M26" s="35"/>
      <c r="N26"/>
      <c r="O26" s="34"/>
      <c r="P26"/>
      <c r="Q26"/>
      <c r="R26" s="291"/>
      <c r="V26"/>
    </row>
    <row r="27" spans="1:22">
      <c r="A27" s="231" t="str">
        <f>'Safety Analysis'!$A$54</f>
        <v>C</v>
      </c>
      <c r="B27" s="46">
        <f>'Safety Analysis'!D54</f>
        <v>3.9154345356963054</v>
      </c>
      <c r="C27" s="304">
        <f>'Value of Injuries and Crashes'!$C$4</f>
        <v>63900</v>
      </c>
      <c r="D27" s="192">
        <f t="shared" si="2"/>
        <v>250196.2668309939</v>
      </c>
      <c r="E27" s="291"/>
      <c r="F27" s="291"/>
      <c r="G27" s="35"/>
      <c r="H27" s="35"/>
      <c r="I27" s="35"/>
      <c r="J27" s="35"/>
      <c r="K27" s="35"/>
      <c r="L27" s="35"/>
      <c r="M27" s="35"/>
      <c r="N27"/>
      <c r="O27" s="34"/>
      <c r="P27"/>
      <c r="Q27"/>
      <c r="R27" s="291"/>
      <c r="V27"/>
    </row>
    <row r="28" spans="1:22">
      <c r="A28" s="231" t="str">
        <f>'Safety Analysis'!$A$55</f>
        <v>O</v>
      </c>
      <c r="B28" s="46">
        <f>'Safety Analysis'!D55</f>
        <v>17.722493161572746</v>
      </c>
      <c r="C28" s="304">
        <f>'Value of Injuries and Crashes'!$C$3</f>
        <v>3200</v>
      </c>
      <c r="D28" s="192">
        <f t="shared" si="2"/>
        <v>56711.978117032791</v>
      </c>
      <c r="E28" s="291"/>
      <c r="F28" s="291"/>
      <c r="G28" s="35"/>
      <c r="H28" s="35"/>
      <c r="I28" s="35"/>
      <c r="J28" s="35"/>
      <c r="K28" s="35"/>
      <c r="L28" s="35"/>
      <c r="M28" s="35"/>
      <c r="N28"/>
      <c r="O28" s="34"/>
      <c r="P28"/>
      <c r="Q28"/>
      <c r="R28" s="291"/>
      <c r="V28"/>
    </row>
    <row r="29" spans="1:22">
      <c r="A29" s="231" t="s">
        <v>206</v>
      </c>
      <c r="B29" s="46">
        <f>SUM(B24:B28)</f>
        <v>24.316909221692839</v>
      </c>
      <c r="C29" s="294" t="s">
        <v>207</v>
      </c>
      <c r="D29" s="305">
        <f>SUM(D24:D28)</f>
        <v>1686913.4508292838</v>
      </c>
      <c r="E29" s="185"/>
      <c r="F29" s="185"/>
      <c r="G29" s="185"/>
      <c r="H29" s="185"/>
      <c r="J29" s="291"/>
      <c r="K29" s="33"/>
      <c r="L29" s="33"/>
      <c r="M29" s="33"/>
      <c r="N29" s="33"/>
      <c r="O29" s="33"/>
      <c r="P29" s="33"/>
      <c r="Q29" s="33"/>
      <c r="U29" s="49"/>
    </row>
    <row r="30" spans="1:22">
      <c r="M30"/>
      <c r="N30"/>
    </row>
    <row r="31" spans="1:22">
      <c r="A31" s="3" t="s">
        <v>210</v>
      </c>
    </row>
    <row r="32" spans="1:22" ht="30">
      <c r="A32" s="222" t="s">
        <v>16</v>
      </c>
      <c r="B32" s="295" t="s">
        <v>200</v>
      </c>
      <c r="C32" s="294" t="s">
        <v>52</v>
      </c>
      <c r="D32" s="294" t="s">
        <v>11</v>
      </c>
      <c r="E32" s="291"/>
      <c r="G32" s="291"/>
      <c r="H32" s="291"/>
      <c r="J32" s="291"/>
      <c r="N32"/>
      <c r="O32"/>
      <c r="P32"/>
      <c r="Q32"/>
      <c r="R32" s="291"/>
      <c r="V32"/>
    </row>
    <row r="33" spans="1:22">
      <c r="A33" s="231" t="str">
        <f>'Safety Analysis'!$A$51</f>
        <v>K</v>
      </c>
      <c r="B33" s="46">
        <f>'Safety Analysis'!E51</f>
        <v>5.1518875469688231E-2</v>
      </c>
      <c r="C33" s="304">
        <f>'Value of Injuries and Crashes'!$C$7</f>
        <v>9600000</v>
      </c>
      <c r="D33" s="192">
        <f>B33*C33</f>
        <v>494581.20450900705</v>
      </c>
      <c r="E33" s="291"/>
      <c r="F33" s="291"/>
      <c r="G33" s="35"/>
      <c r="H33" s="35"/>
      <c r="I33" s="35"/>
      <c r="J33" s="35"/>
      <c r="K33" s="35"/>
      <c r="L33" s="35"/>
      <c r="M33" s="35"/>
      <c r="N33"/>
      <c r="O33" s="34"/>
      <c r="P33"/>
      <c r="Q33"/>
      <c r="R33" s="291"/>
      <c r="V33"/>
    </row>
    <row r="34" spans="1:22">
      <c r="A34" s="231" t="str">
        <f>'Safety Analysis'!$A$52</f>
        <v>A</v>
      </c>
      <c r="B34" s="46">
        <f>'Safety Analysis'!E52</f>
        <v>0.10612888346755776</v>
      </c>
      <c r="C34" s="304">
        <f>'Value of Injuries and Crashes'!$C$6</f>
        <v>459100</v>
      </c>
      <c r="D34" s="192">
        <f t="shared" ref="D34:D37" si="3">B34*C34</f>
        <v>48723.770399955771</v>
      </c>
      <c r="E34" s="291"/>
      <c r="F34" s="291"/>
      <c r="G34" s="35"/>
      <c r="H34" s="35"/>
      <c r="I34" s="35"/>
      <c r="J34" s="35"/>
      <c r="K34" s="35"/>
      <c r="L34" s="35"/>
      <c r="M34" s="35"/>
      <c r="N34"/>
      <c r="O34" s="34"/>
      <c r="P34"/>
      <c r="Q34"/>
      <c r="R34" s="291"/>
      <c r="V34"/>
    </row>
    <row r="35" spans="1:22">
      <c r="A35" s="231" t="str">
        <f>'Safety Analysis'!$A$53</f>
        <v>B</v>
      </c>
      <c r="B35" s="46">
        <f>'Safety Analysis'!E53</f>
        <v>1.6146015572200294</v>
      </c>
      <c r="C35" s="304">
        <f>'Value of Injuries and Crashes'!$C$5</f>
        <v>125000</v>
      </c>
      <c r="D35" s="192">
        <f t="shared" si="3"/>
        <v>201825.19465250368</v>
      </c>
      <c r="E35" s="291"/>
      <c r="F35" s="291"/>
      <c r="G35" s="35"/>
      <c r="H35" s="35"/>
      <c r="I35" s="35"/>
      <c r="J35" s="35"/>
      <c r="K35" s="35"/>
      <c r="L35" s="35"/>
      <c r="M35" s="35"/>
      <c r="N35"/>
      <c r="O35" s="34"/>
      <c r="P35"/>
      <c r="Q35"/>
      <c r="R35" s="291"/>
      <c r="V35"/>
    </row>
    <row r="36" spans="1:22">
      <c r="A36" s="231" t="str">
        <f>'Safety Analysis'!$A$54</f>
        <v>C</v>
      </c>
      <c r="B36" s="46">
        <f>'Safety Analysis'!E54</f>
        <v>2.7603813476658958</v>
      </c>
      <c r="C36" s="304">
        <f>'Value of Injuries and Crashes'!$C$4</f>
        <v>63900</v>
      </c>
      <c r="D36" s="192">
        <f t="shared" si="3"/>
        <v>176388.36811585075</v>
      </c>
      <c r="E36" s="291"/>
      <c r="F36" s="291"/>
      <c r="G36" s="35"/>
      <c r="H36" s="35"/>
      <c r="I36" s="35"/>
      <c r="J36" s="35"/>
      <c r="K36" s="35"/>
      <c r="L36" s="35"/>
      <c r="M36" s="35"/>
      <c r="N36"/>
      <c r="O36" s="34"/>
      <c r="P36"/>
      <c r="Q36"/>
      <c r="R36" s="291"/>
      <c r="V36"/>
    </row>
    <row r="37" spans="1:22">
      <c r="A37" s="231" t="str">
        <f>'Safety Analysis'!$A$55</f>
        <v>O</v>
      </c>
      <c r="B37" s="46">
        <f>'Safety Analysis'!E55</f>
        <v>12.48096277128667</v>
      </c>
      <c r="C37" s="304">
        <f>'Value of Injuries and Crashes'!$C$3</f>
        <v>3200</v>
      </c>
      <c r="D37" s="192">
        <f t="shared" si="3"/>
        <v>39939.080868117344</v>
      </c>
      <c r="E37" s="291"/>
      <c r="F37" s="291"/>
      <c r="G37" s="35"/>
      <c r="H37" s="35"/>
      <c r="I37" s="35"/>
      <c r="J37" s="35"/>
      <c r="K37" s="35"/>
      <c r="L37" s="35"/>
      <c r="M37" s="35"/>
      <c r="N37"/>
      <c r="O37" s="34"/>
      <c r="P37"/>
      <c r="Q37"/>
      <c r="R37" s="291"/>
      <c r="V37"/>
    </row>
    <row r="38" spans="1:22">
      <c r="A38" s="231" t="s">
        <v>206</v>
      </c>
      <c r="B38" s="46">
        <f>SUM(B33:B37)</f>
        <v>17.01359343510984</v>
      </c>
      <c r="C38" s="294" t="s">
        <v>207</v>
      </c>
      <c r="D38" s="305">
        <f>SUM(D33:D37)</f>
        <v>961457.61854543467</v>
      </c>
      <c r="E38" s="185"/>
      <c r="F38" s="185"/>
      <c r="G38" s="185"/>
      <c r="H38" s="185"/>
      <c r="J38" s="291"/>
      <c r="K38" s="33"/>
      <c r="L38" s="33"/>
      <c r="M38" s="33"/>
      <c r="N38" s="33"/>
      <c r="O38" s="33"/>
      <c r="P38" s="33"/>
      <c r="Q38" s="33"/>
      <c r="U38" s="49"/>
    </row>
    <row r="39" spans="1:22">
      <c r="M39"/>
      <c r="N39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50"/>
    <pageSetUpPr fitToPage="1"/>
  </sheetPr>
  <dimension ref="A1:K17"/>
  <sheetViews>
    <sheetView showGridLines="0" view="pageBreakPreview" zoomScale="85" zoomScaleNormal="85" zoomScaleSheetLayoutView="85" workbookViewId="0">
      <selection activeCell="A12" sqref="A12"/>
    </sheetView>
  </sheetViews>
  <sheetFormatPr defaultRowHeight="15"/>
  <cols>
    <col min="1" max="1" width="20.7109375" customWidth="1"/>
    <col min="2" max="2" width="14.7109375" style="8" customWidth="1"/>
    <col min="3" max="3" width="12.28515625" style="8" customWidth="1"/>
    <col min="4" max="5" width="12.28515625" style="94" customWidth="1"/>
    <col min="6" max="7" width="12.28515625" style="8" customWidth="1"/>
    <col min="8" max="8" width="20" style="8" customWidth="1"/>
    <col min="9" max="9" width="18.140625" style="8" customWidth="1"/>
    <col min="10" max="10" width="20.7109375" style="8" customWidth="1"/>
    <col min="11" max="11" width="24.140625" customWidth="1"/>
    <col min="13" max="13" width="13.5703125" customWidth="1"/>
    <col min="14" max="17" width="12.28515625" customWidth="1"/>
    <col min="18" max="20" width="18.140625" customWidth="1"/>
    <col min="22" max="22" width="22.42578125" customWidth="1"/>
    <col min="23" max="23" width="15.28515625" bestFit="1" customWidth="1"/>
  </cols>
  <sheetData>
    <row r="1" spans="1:11" ht="21">
      <c r="A1" s="355" t="s">
        <v>72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>
      <c r="A2" s="356" t="s">
        <v>149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1">
      <c r="A3" s="357" t="s">
        <v>110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>
      <c r="A4" s="3"/>
      <c r="B4" s="92"/>
      <c r="C4" s="92"/>
      <c r="F4" s="92"/>
      <c r="G4" s="92"/>
      <c r="H4" s="92"/>
      <c r="I4" s="92"/>
      <c r="J4" s="92"/>
    </row>
    <row r="5" spans="1:11" ht="18" customHeight="1">
      <c r="A5" s="405"/>
      <c r="B5" s="386" t="s">
        <v>29</v>
      </c>
      <c r="C5" s="386"/>
      <c r="D5" s="386"/>
      <c r="E5" s="386"/>
      <c r="F5" s="386" t="s">
        <v>32</v>
      </c>
      <c r="G5" s="386"/>
      <c r="H5" s="386" t="s">
        <v>26</v>
      </c>
      <c r="I5" s="386"/>
      <c r="J5" s="386"/>
      <c r="K5" s="412" t="s">
        <v>33</v>
      </c>
    </row>
    <row r="6" spans="1:11">
      <c r="A6" s="445"/>
      <c r="B6" s="387" t="s">
        <v>109</v>
      </c>
      <c r="C6" s="387"/>
      <c r="D6" s="387" t="s">
        <v>107</v>
      </c>
      <c r="E6" s="387"/>
      <c r="F6" s="387"/>
      <c r="G6" s="387"/>
      <c r="H6" s="387"/>
      <c r="I6" s="387"/>
      <c r="J6" s="387"/>
      <c r="K6" s="408"/>
    </row>
    <row r="7" spans="1:11">
      <c r="A7" s="445"/>
      <c r="B7" s="102" t="s">
        <v>30</v>
      </c>
      <c r="C7" s="102" t="s">
        <v>31</v>
      </c>
      <c r="D7" s="102" t="s">
        <v>30</v>
      </c>
      <c r="E7" s="102" t="s">
        <v>31</v>
      </c>
      <c r="F7" s="102" t="s">
        <v>30</v>
      </c>
      <c r="G7" s="102" t="s">
        <v>31</v>
      </c>
      <c r="H7" s="102" t="s">
        <v>30</v>
      </c>
      <c r="I7" s="102" t="s">
        <v>31</v>
      </c>
      <c r="J7" s="102" t="s">
        <v>15</v>
      </c>
      <c r="K7" s="408"/>
    </row>
    <row r="8" spans="1:11" ht="15" customHeight="1">
      <c r="A8" s="4" t="s">
        <v>171</v>
      </c>
      <c r="B8" s="324">
        <f>0.058*260*10100*(1-((0.187+0.062)/2))</f>
        <v>133345.65399999998</v>
      </c>
      <c r="C8" s="324">
        <f>0.058*260*10100*((0.187+0.062)/2)</f>
        <v>18962.346000000001</v>
      </c>
      <c r="D8" s="324">
        <f>0.058*105*10100*(1-(((0.187+0.062)/2)*0.25))</f>
        <v>59594.53237500001</v>
      </c>
      <c r="E8" s="324">
        <f>(0.058)*(105)*10100*((0.187+0.062)/2)*0.25</f>
        <v>1914.4676250000002</v>
      </c>
      <c r="F8" s="17">
        <f>'Assumptions Summary'!$B$15*'Assumptions Summary'!$B$22</f>
        <v>27.722000000000001</v>
      </c>
      <c r="G8" s="17">
        <f>'Assumptions Summary'!$B$16</f>
        <v>29.5</v>
      </c>
      <c r="H8" s="17">
        <f t="shared" ref="H8:I11" si="0">(B8+D8)*F8</f>
        <v>5348687.84668775</v>
      </c>
      <c r="I8" s="17">
        <f t="shared" si="0"/>
        <v>615866.00193750008</v>
      </c>
      <c r="J8" s="12">
        <f>SUM(H8:I8)</f>
        <v>5964553.8486252502</v>
      </c>
      <c r="K8" s="444">
        <f>J8-J9</f>
        <v>-308511.40596337523</v>
      </c>
    </row>
    <row r="9" spans="1:11">
      <c r="A9" s="4" t="s">
        <v>174</v>
      </c>
      <c r="B9" s="324">
        <f>0.061*260*10100*(1-((0.187+0.062)/2))</f>
        <v>140242.84299999999</v>
      </c>
      <c r="C9" s="324">
        <f>0.061*260*10100*((0.187+0.062)/2)</f>
        <v>19943.156999999999</v>
      </c>
      <c r="D9" s="324">
        <f>0.061*105*10100*(1-(((0.187+0.062)/2)*0.25))</f>
        <v>62677.008187500003</v>
      </c>
      <c r="E9" s="324">
        <f>(0.061)*(105)*10100*((0.187+0.062)/2)*0.25</f>
        <v>2013.4918124999999</v>
      </c>
      <c r="F9" s="17">
        <f>'Assumptions Summary'!$B$15*'Assumptions Summary'!$B$22</f>
        <v>27.722000000000001</v>
      </c>
      <c r="G9" s="17">
        <f>'Assumptions Summary'!$B$16</f>
        <v>29.5</v>
      </c>
      <c r="H9" s="17">
        <f t="shared" si="0"/>
        <v>5625344.1146198753</v>
      </c>
      <c r="I9" s="17">
        <f t="shared" si="0"/>
        <v>647721.13996874995</v>
      </c>
      <c r="J9" s="12">
        <f t="shared" ref="J9:J11" si="1">SUM(H9:I9)</f>
        <v>6273065.2545886254</v>
      </c>
      <c r="K9" s="444"/>
    </row>
    <row r="10" spans="1:11">
      <c r="A10" s="4" t="s">
        <v>172</v>
      </c>
      <c r="B10" s="324">
        <f>0.059*260*11850*(1-((0.187+0.062)/2))</f>
        <v>159147.51449999999</v>
      </c>
      <c r="C10" s="324">
        <f>0.059*260*11850*((0.187+0.062)/2)</f>
        <v>22631.485499999999</v>
      </c>
      <c r="D10" s="324">
        <f>0.059*105*11850*(1-(((0.187+0.062)/2)*0.25))</f>
        <v>71125.840406250005</v>
      </c>
      <c r="E10" s="324">
        <f>(0.059)*(105)*11850*((0.187+0.062)/2)*0.25</f>
        <v>2284.9095937500001</v>
      </c>
      <c r="F10" s="17">
        <f>'Assumptions Summary'!$B$15*'Assumptions Summary'!$B$22</f>
        <v>27.722000000000001</v>
      </c>
      <c r="G10" s="17">
        <f>'Assumptions Summary'!$B$16</f>
        <v>29.5</v>
      </c>
      <c r="H10" s="17">
        <f t="shared" si="0"/>
        <v>6383637.9447110631</v>
      </c>
      <c r="I10" s="17">
        <f t="shared" si="0"/>
        <v>735033.65526562498</v>
      </c>
      <c r="J10" s="12">
        <f t="shared" si="1"/>
        <v>7118671.5999766877</v>
      </c>
      <c r="K10" s="444">
        <f>J10-J11</f>
        <v>-482621.80338825006</v>
      </c>
    </row>
    <row r="11" spans="1:11">
      <c r="A11" s="4" t="s">
        <v>173</v>
      </c>
      <c r="B11" s="324">
        <f>0.063*260*11850*(1-((0.187+0.062)/2))</f>
        <v>169937.1765</v>
      </c>
      <c r="C11" s="324">
        <f>0.063*260*11850*((0.187+0.062)/2)</f>
        <v>24165.823499999999</v>
      </c>
      <c r="D11" s="324">
        <f>0.063*105*11850*(1-(((0.187+0.062)/2)*0.25))</f>
        <v>75947.931281249999</v>
      </c>
      <c r="E11" s="324">
        <f>(0.063)*(105)*11850*((0.187+0.062)/2)*0.25</f>
        <v>2439.8187187499998</v>
      </c>
      <c r="F11" s="17">
        <f>'Assumptions Summary'!$B$15*'Assumptions Summary'!$B$22</f>
        <v>27.722000000000001</v>
      </c>
      <c r="G11" s="17">
        <f>'Assumptions Summary'!$B$16</f>
        <v>29.5</v>
      </c>
      <c r="H11" s="17">
        <f t="shared" si="0"/>
        <v>6816426.9579118127</v>
      </c>
      <c r="I11" s="17">
        <f t="shared" si="0"/>
        <v>784866.44545312494</v>
      </c>
      <c r="J11" s="12">
        <f t="shared" si="1"/>
        <v>7601293.4033649378</v>
      </c>
      <c r="K11" s="444"/>
    </row>
    <row r="12" spans="1:11">
      <c r="H12"/>
      <c r="I12"/>
    </row>
    <row r="13" spans="1:11">
      <c r="B13"/>
      <c r="C13"/>
      <c r="D13"/>
      <c r="E13"/>
      <c r="F13"/>
      <c r="G13"/>
      <c r="H13"/>
      <c r="I13"/>
      <c r="J13"/>
    </row>
    <row r="15" spans="1:11">
      <c r="A15" s="3" t="s">
        <v>13</v>
      </c>
    </row>
    <row r="16" spans="1:11">
      <c r="A16" s="442" t="s">
        <v>234</v>
      </c>
      <c r="B16" s="442"/>
      <c r="C16" s="442"/>
      <c r="D16" s="442"/>
      <c r="E16" s="442"/>
      <c r="F16" s="442"/>
      <c r="G16" s="442"/>
      <c r="H16" s="442"/>
      <c r="I16" s="442"/>
      <c r="J16" s="442"/>
      <c r="K16" s="442"/>
    </row>
    <row r="17" spans="1:11" ht="33" customHeight="1">
      <c r="A17" s="443" t="s">
        <v>180</v>
      </c>
      <c r="B17" s="443"/>
      <c r="C17" s="443"/>
      <c r="D17" s="443"/>
      <c r="E17" s="443"/>
      <c r="F17" s="443"/>
      <c r="G17" s="443"/>
      <c r="H17" s="443"/>
      <c r="I17" s="443"/>
      <c r="J17" s="443"/>
      <c r="K17" s="443"/>
    </row>
  </sheetData>
  <mergeCells count="14">
    <mergeCell ref="A1:K1"/>
    <mergeCell ref="A2:K2"/>
    <mergeCell ref="A3:K3"/>
    <mergeCell ref="A5:A7"/>
    <mergeCell ref="B6:C6"/>
    <mergeCell ref="A16:K16"/>
    <mergeCell ref="A17:K17"/>
    <mergeCell ref="K5:K7"/>
    <mergeCell ref="K10:K11"/>
    <mergeCell ref="K8:K9"/>
    <mergeCell ref="B5:E5"/>
    <mergeCell ref="D6:E6"/>
    <mergeCell ref="H5:J6"/>
    <mergeCell ref="F5:G6"/>
  </mergeCells>
  <pageMargins left="0.7" right="0.7" top="0.75" bottom="0.75" header="0.3" footer="0.3"/>
  <pageSetup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  <pageSetUpPr fitToPage="1"/>
  </sheetPr>
  <dimension ref="A1:K20"/>
  <sheetViews>
    <sheetView showGridLines="0" zoomScale="70" zoomScaleNormal="70" workbookViewId="0">
      <selection sqref="A1:K15"/>
    </sheetView>
  </sheetViews>
  <sheetFormatPr defaultRowHeight="15"/>
  <cols>
    <col min="1" max="1" width="14.42578125" customWidth="1"/>
    <col min="2" max="2" width="15" style="8" customWidth="1"/>
    <col min="3" max="3" width="12.28515625" style="8" customWidth="1"/>
    <col min="4" max="4" width="16.140625" style="94" customWidth="1"/>
    <col min="5" max="5" width="12.28515625" style="94" customWidth="1"/>
    <col min="6" max="7" width="12.28515625" style="8" customWidth="1"/>
    <col min="8" max="10" width="17.85546875" style="8" customWidth="1"/>
    <col min="11" max="11" width="19.5703125" bestFit="1" customWidth="1"/>
    <col min="12" max="12" width="13.42578125" customWidth="1"/>
    <col min="13" max="13" width="13.5703125" customWidth="1"/>
    <col min="14" max="17" width="12.28515625" customWidth="1"/>
    <col min="18" max="20" width="17.85546875" customWidth="1"/>
    <col min="22" max="22" width="22.42578125" customWidth="1"/>
    <col min="23" max="23" width="16.28515625" bestFit="1" customWidth="1"/>
    <col min="25" max="25" width="14" customWidth="1"/>
  </cols>
  <sheetData>
    <row r="1" spans="1:11" ht="21">
      <c r="A1" s="355" t="s">
        <v>72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>
      <c r="A2" s="356" t="s">
        <v>151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11">
      <c r="A3" s="357" t="s">
        <v>111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</row>
    <row r="4" spans="1:11" ht="15.75" thickBot="1">
      <c r="A4" s="3"/>
      <c r="B4" s="92"/>
      <c r="C4" s="92"/>
      <c r="F4" s="92"/>
      <c r="G4" s="92"/>
      <c r="H4" s="92"/>
      <c r="I4" s="92"/>
      <c r="J4" s="92"/>
    </row>
    <row r="5" spans="1:11" ht="18" customHeight="1">
      <c r="A5" s="405"/>
      <c r="B5" s="386" t="s">
        <v>113</v>
      </c>
      <c r="C5" s="386"/>
      <c r="D5" s="386"/>
      <c r="E5" s="386"/>
      <c r="F5" s="386" t="s">
        <v>103</v>
      </c>
      <c r="G5" s="386"/>
      <c r="H5" s="386" t="s">
        <v>26</v>
      </c>
      <c r="I5" s="386"/>
      <c r="J5" s="386"/>
      <c r="K5" s="412" t="s">
        <v>33</v>
      </c>
    </row>
    <row r="6" spans="1:11">
      <c r="A6" s="445"/>
      <c r="B6" s="387" t="s">
        <v>109</v>
      </c>
      <c r="C6" s="387"/>
      <c r="D6" s="387" t="s">
        <v>107</v>
      </c>
      <c r="E6" s="387"/>
      <c r="F6" s="387"/>
      <c r="G6" s="387"/>
      <c r="H6" s="387"/>
      <c r="I6" s="387"/>
      <c r="J6" s="387"/>
      <c r="K6" s="408"/>
    </row>
    <row r="7" spans="1:11">
      <c r="A7" s="445"/>
      <c r="B7" s="102" t="s">
        <v>30</v>
      </c>
      <c r="C7" s="102" t="s">
        <v>31</v>
      </c>
      <c r="D7" s="102" t="s">
        <v>30</v>
      </c>
      <c r="E7" s="102" t="s">
        <v>31</v>
      </c>
      <c r="F7" s="102" t="s">
        <v>30</v>
      </c>
      <c r="G7" s="102" t="s">
        <v>31</v>
      </c>
      <c r="H7" s="102" t="s">
        <v>30</v>
      </c>
      <c r="I7" s="102" t="s">
        <v>31</v>
      </c>
      <c r="J7" s="102" t="s">
        <v>15</v>
      </c>
      <c r="K7" s="408"/>
    </row>
    <row r="8" spans="1:11">
      <c r="A8" s="4" t="s">
        <v>171</v>
      </c>
      <c r="B8" s="324">
        <f>260*10100*1.6*(1-(0.187+0.062)/2)</f>
        <v>3678500.8</v>
      </c>
      <c r="C8" s="324">
        <f>260*10100*1.6*((0.187+0.062)/2)</f>
        <v>523099.2</v>
      </c>
      <c r="D8" s="324">
        <f>(10100)*(105)*1.6*(1-(0.187+0.062)/2)</f>
        <v>1485548.4</v>
      </c>
      <c r="E8" s="324">
        <f>(10100)*(105)*1.6*((0.187+0.062)/2)</f>
        <v>211251.6</v>
      </c>
      <c r="F8" s="17">
        <f>'Assumptions Summary'!$B$25</f>
        <v>0.41</v>
      </c>
      <c r="G8" s="17">
        <f>'Assumptions Summary'!$B$26</f>
        <v>0.96</v>
      </c>
      <c r="H8" s="17">
        <f>(B8+D8)*F8</f>
        <v>2117260.1719999998</v>
      </c>
      <c r="I8" s="17">
        <f>(C8+E8)*G8</f>
        <v>704976.76800000004</v>
      </c>
      <c r="J8" s="12">
        <f>SUM(H8:I8)</f>
        <v>2822236.94</v>
      </c>
      <c r="K8" s="444">
        <f>J8-J9</f>
        <v>0</v>
      </c>
    </row>
    <row r="9" spans="1:11">
      <c r="A9" s="4" t="s">
        <v>174</v>
      </c>
      <c r="B9" s="324">
        <f>260*10100*1.6*(1-(0.187+0.062)/2)</f>
        <v>3678500.8</v>
      </c>
      <c r="C9" s="324">
        <f>260*10100*1.6*((0.187+0.062)/2)</f>
        <v>523099.2</v>
      </c>
      <c r="D9" s="324">
        <f>(10100)*(105)*1.6*(1-(0.187+0.062)/2)</f>
        <v>1485548.4</v>
      </c>
      <c r="E9" s="324">
        <f>(10100)*(105)*1.6*((0.187+0.062)/2)</f>
        <v>211251.6</v>
      </c>
      <c r="F9" s="17">
        <f>'Assumptions Summary'!$B$25</f>
        <v>0.41</v>
      </c>
      <c r="G9" s="17">
        <f>'Assumptions Summary'!$B$26</f>
        <v>0.96</v>
      </c>
      <c r="H9" s="17">
        <f t="shared" ref="H9:H11" si="0">(B9+D9)*F9</f>
        <v>2117260.1719999998</v>
      </c>
      <c r="I9" s="17">
        <f t="shared" ref="I9:I11" si="1">(C9+E9)*G9</f>
        <v>704976.76800000004</v>
      </c>
      <c r="J9" s="12">
        <f t="shared" ref="J9" si="2">SUM(H9:I9)</f>
        <v>2822236.94</v>
      </c>
      <c r="K9" s="444"/>
    </row>
    <row r="10" spans="1:11">
      <c r="A10" s="4" t="s">
        <v>172</v>
      </c>
      <c r="B10" s="324">
        <f>260*11850*1.6*(1-(0.187+0.062)/2)</f>
        <v>4315864.8</v>
      </c>
      <c r="C10" s="324">
        <f>260*11850*1.6*((0.187+0.062)/2)</f>
        <v>613735.19999999995</v>
      </c>
      <c r="D10" s="324">
        <f>(11850)*(105)*1.6*(1-(0.187+0.062)/2)</f>
        <v>1742945.4</v>
      </c>
      <c r="E10" s="324">
        <f>(11850)*(105)*1.6*((0.187+0.062)/2)</f>
        <v>247854.6</v>
      </c>
      <c r="F10" s="17">
        <f>'Assumptions Summary'!$B$25</f>
        <v>0.41</v>
      </c>
      <c r="G10" s="17">
        <f>'Assumptions Summary'!$B$26</f>
        <v>0.96</v>
      </c>
      <c r="H10" s="17">
        <f t="shared" si="0"/>
        <v>2484112.1819999996</v>
      </c>
      <c r="I10" s="17">
        <f t="shared" si="1"/>
        <v>827126.20799999987</v>
      </c>
      <c r="J10" s="12">
        <f>SUM(H10:I10)</f>
        <v>3311238.3899999997</v>
      </c>
      <c r="K10" s="444">
        <f>J10-J11</f>
        <v>0</v>
      </c>
    </row>
    <row r="11" spans="1:11" ht="15.75" thickBot="1">
      <c r="A11" s="6" t="s">
        <v>173</v>
      </c>
      <c r="B11" s="349">
        <f>260*11850*1.6*(1-(0.187+0.062)/2)</f>
        <v>4315864.8</v>
      </c>
      <c r="C11" s="349">
        <f>260*11850*1.6*((0.187+0.062)/2)</f>
        <v>613735.19999999995</v>
      </c>
      <c r="D11" s="349">
        <f>(11850)*(105)*1.6*(1-(0.187+0.062)/2)</f>
        <v>1742945.4</v>
      </c>
      <c r="E11" s="349">
        <f>(11850)*(105)*1.6*((0.187+0.062)/2)</f>
        <v>247854.6</v>
      </c>
      <c r="F11" s="19">
        <f>'Assumptions Summary'!$B$25</f>
        <v>0.41</v>
      </c>
      <c r="G11" s="19">
        <f>'Assumptions Summary'!$B$26</f>
        <v>0.96</v>
      </c>
      <c r="H11" s="19">
        <f t="shared" si="0"/>
        <v>2484112.1819999996</v>
      </c>
      <c r="I11" s="19">
        <f t="shared" si="1"/>
        <v>827126.20799999987</v>
      </c>
      <c r="J11" s="114">
        <f t="shared" ref="J11" si="3">SUM(H11:I11)</f>
        <v>3311238.3899999997</v>
      </c>
      <c r="K11" s="447"/>
    </row>
    <row r="12" spans="1:11">
      <c r="B12"/>
      <c r="C12"/>
      <c r="D12"/>
      <c r="E12"/>
      <c r="F12"/>
      <c r="G12"/>
      <c r="H12"/>
      <c r="I12"/>
      <c r="J12"/>
    </row>
    <row r="13" spans="1:11">
      <c r="B13"/>
      <c r="C13"/>
      <c r="D13"/>
      <c r="E13"/>
      <c r="F13"/>
      <c r="G13"/>
      <c r="H13"/>
      <c r="I13"/>
      <c r="J13"/>
    </row>
    <row r="14" spans="1:11">
      <c r="A14" s="3" t="s">
        <v>13</v>
      </c>
      <c r="H14"/>
      <c r="I14"/>
    </row>
    <row r="15" spans="1:11" ht="33" customHeight="1">
      <c r="A15" s="443" t="s">
        <v>179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43"/>
    </row>
    <row r="16" spans="1:11">
      <c r="A16" s="446"/>
      <c r="B16" s="446"/>
      <c r="C16" s="446"/>
      <c r="D16" s="446"/>
      <c r="E16" s="446"/>
      <c r="F16" s="446"/>
      <c r="G16" s="446"/>
      <c r="H16" s="446"/>
      <c r="I16" s="446"/>
      <c r="J16" s="446"/>
      <c r="K16" s="446"/>
    </row>
    <row r="20" spans="1:1">
      <c r="A20" s="3"/>
    </row>
  </sheetData>
  <mergeCells count="14">
    <mergeCell ref="A1:K1"/>
    <mergeCell ref="A2:K2"/>
    <mergeCell ref="A3:K3"/>
    <mergeCell ref="A15:K15"/>
    <mergeCell ref="A16:K16"/>
    <mergeCell ref="A5:A7"/>
    <mergeCell ref="B5:E5"/>
    <mergeCell ref="D6:E6"/>
    <mergeCell ref="K10:K11"/>
    <mergeCell ref="K8:K9"/>
    <mergeCell ref="K5:K7"/>
    <mergeCell ref="H5:J6"/>
    <mergeCell ref="F5:G6"/>
    <mergeCell ref="B6:C6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Assumptions Summary</vt:lpstr>
      <vt:lpstr>Value of Injuries and Crashes</vt:lpstr>
      <vt:lpstr>RCV Factors</vt:lpstr>
      <vt:lpstr>Maintenance</vt:lpstr>
      <vt:lpstr>Design.Construction.Salvage</vt:lpstr>
      <vt:lpstr>Safety Analysis</vt:lpstr>
      <vt:lpstr>Collision Conversion Matrix</vt:lpstr>
      <vt:lpstr>Travel Time Analysis</vt:lpstr>
      <vt:lpstr>Vehicle Operating Analysis</vt:lpstr>
      <vt:lpstr>Environmental Analysis</vt:lpstr>
      <vt:lpstr>Misc Tables</vt:lpstr>
      <vt:lpstr>Summaries</vt:lpstr>
      <vt:lpstr>Summary</vt:lpstr>
      <vt:lpstr>'Assumptions Summary'!Print_Area</vt:lpstr>
      <vt:lpstr>Summary!Print_Area</vt:lpstr>
      <vt:lpstr>'Travel Time Analysis'!Print_Area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2020-05-06T18:07:49Z</dcterms:modified>
</cp:coreProperties>
</file>